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ilroy\Downloads\"/>
    </mc:Choice>
  </mc:AlternateContent>
  <bookViews>
    <workbookView xWindow="0" yWindow="0" windowWidth="18870" windowHeight="7815"/>
  </bookViews>
  <sheets>
    <sheet name="IB Revenue Comparisons Sheet" sheetId="1" r:id="rId1"/>
    <sheet name="Financial Dat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FDS_HYPERLINK_TOGGLE_STATE__" hidden="1">"ON"</definedName>
    <definedName name="__FDS_UNIQUE_RANGE_ID_GENERATOR_COUNTER" hidden="1">3</definedName>
    <definedName name="__FDS_USED_FOR_REUSING_RANGE_IDS_RECYCLE" hidden="1">{2}</definedName>
    <definedName name="_1__123Graph_ACHART_26" hidden="1">[1]IncStat!#REF!</definedName>
    <definedName name="_10__123Graph_XCHART_14" hidden="1">[1]IncStat!#REF!</definedName>
    <definedName name="_11__123Graph_XCHART_15" hidden="1">[1]IncStat!#REF!</definedName>
    <definedName name="_12__123Graph_XCHART_16" hidden="1">[1]IncStat!#REF!</definedName>
    <definedName name="_13__123Graph_XCHART_20" hidden="1">[1]IncStat!#REF!</definedName>
    <definedName name="_14__123Graph_XCHART_26" hidden="1">[1]IncStat!#REF!</definedName>
    <definedName name="_15__123Graph_XCHART_36" hidden="1">[1]IncStat!#REF!</definedName>
    <definedName name="_16__123Graph_XCHART_7" hidden="1">[1]IncStat!#REF!</definedName>
    <definedName name="_17__123Graph_XCHART_8" hidden="1">[1]IncStat!#REF!</definedName>
    <definedName name="_2__123Graph_ACHART_35" hidden="1">[1]IncStat!#REF!</definedName>
    <definedName name="_3__123Graph_ACHART_7" hidden="1">[1]IncStat!#REF!</definedName>
    <definedName name="_4__123Graph_ACHART_8" hidden="1">[1]IncStat!#REF!</definedName>
    <definedName name="_5__123Graph_BCHART_26" hidden="1">[1]IncStat!#REF!</definedName>
    <definedName name="_6__123Graph_CCHART_26" hidden="1">[1]IncStat!#REF!</definedName>
    <definedName name="_7__123Graph_DCHART_26" hidden="1">[1]IncStat!#REF!</definedName>
    <definedName name="_8__123Graph_ECHART_26" hidden="1">[1]IncStat!#REF!</definedName>
    <definedName name="_9__123Graph_FCHART_26" hidden="1">[1]IncStat!#REF!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cu102.ShareScalingFactor" hidden="1">1000000</definedName>
    <definedName name="cu103.EmployeeScalingFactor" hidden="1">1000</definedName>
    <definedName name="cu107.DPSSymbol" hidden="1">"US$"</definedName>
    <definedName name="cu107.EPSSymbol" hidden="1">"US$"</definedName>
    <definedName name="cu71.ScalingFactor" hidden="1">1000000</definedName>
    <definedName name="FX_Annual_Average_Rates">'[2]FX Rates Annual'!$B$5:$E$1048576</definedName>
    <definedName name="FX_Annual_Average_Rates_ColumnID">'[2]FX Rates Annual'!$B$5:$E$5</definedName>
    <definedName name="nmReportHeader">[3]Sheet1!$1:$1:R0</definedName>
    <definedName name="_xlnm.Print_Titles" localSheetId="0">'IB Revenue Comparisons Sheet'!$A:$B,'IB Revenue Comparisons Sheet'!$1:$7</definedName>
    <definedName name="SNL_Data">'[3]SNL Data EPS Dividend'!$C$10:$XFD$1048576</definedName>
    <definedName name="SNL_ROE_ColumnID">'[4]SNL ROE'!$D$3:$XFD$3</definedName>
    <definedName name="SNL_ROE_Data">'[4]SNL ROE'!$D$9:$XFD$1048576</definedName>
    <definedName name="wrn.detail." hidden="1">{"sales1",#N/A,FALSE,"CPB";"sales2",#N/A,FALSE,"CPB";"sales3",#N/A,FALSE,"CPB";"margin1",#N/A,FALSE,"CPB";"margins2",#N/A,FALSE,"CPB";"soupmodel",#N/A,FALSE,"CPB"}</definedName>
    <definedName name="wrn.financials." hidden="1">{"income",#N/A,FALSE,"CPB";"income2",#N/A,FALSE,"CPB";"cashflow",#N/A,FALSE,"CPB";"balances",#N/A,FALSE,"CPB";"ratios",#N/A,FALSE,"CPB";"expenses",#N/A,FALSE,"CPB";"sourcesanduses",#N/A,FALSE,"CPB"}</definedName>
  </definedNames>
  <calcPr calcId="152511"/>
</workbook>
</file>

<file path=xl/calcChain.xml><?xml version="1.0" encoding="utf-8"?>
<calcChain xmlns="http://schemas.openxmlformats.org/spreadsheetml/2006/main">
  <c r="L186" i="1" l="1"/>
  <c r="K186" i="1"/>
  <c r="J186" i="1"/>
  <c r="I186" i="1"/>
  <c r="H186" i="1"/>
  <c r="G186" i="1"/>
  <c r="F186" i="1"/>
  <c r="E186" i="1"/>
  <c r="D186" i="1"/>
  <c r="C186" i="1"/>
  <c r="L184" i="1"/>
  <c r="K184" i="1"/>
  <c r="J184" i="1"/>
  <c r="I184" i="1"/>
  <c r="H184" i="1"/>
  <c r="G184" i="1"/>
  <c r="F184" i="1"/>
  <c r="E184" i="1"/>
  <c r="D184" i="1"/>
  <c r="L183" i="1"/>
  <c r="K183" i="1"/>
  <c r="J183" i="1"/>
  <c r="J185" i="1" s="1"/>
  <c r="I183" i="1"/>
  <c r="H183" i="1"/>
  <c r="G183" i="1"/>
  <c r="F183" i="1"/>
  <c r="E183" i="1"/>
  <c r="D183" i="1"/>
  <c r="L182" i="1"/>
  <c r="K182" i="1"/>
  <c r="K185" i="1" s="1"/>
  <c r="J182" i="1"/>
  <c r="I182" i="1"/>
  <c r="H182" i="1"/>
  <c r="G182" i="1"/>
  <c r="G185" i="1" s="1"/>
  <c r="F182" i="1"/>
  <c r="E182" i="1"/>
  <c r="D182" i="1"/>
  <c r="L181" i="1"/>
  <c r="L185" i="1" s="1"/>
  <c r="K181" i="1"/>
  <c r="J181" i="1"/>
  <c r="I181" i="1"/>
  <c r="H181" i="1"/>
  <c r="G181" i="1"/>
  <c r="F181" i="1"/>
  <c r="E181" i="1"/>
  <c r="D181" i="1"/>
  <c r="D185" i="1" s="1"/>
  <c r="L180" i="1"/>
  <c r="K180" i="1"/>
  <c r="J180" i="1"/>
  <c r="I180" i="1"/>
  <c r="I185" i="1" s="1"/>
  <c r="H180" i="1"/>
  <c r="G180" i="1"/>
  <c r="F180" i="1"/>
  <c r="E180" i="1"/>
  <c r="E185" i="1" s="1"/>
  <c r="D180" i="1"/>
  <c r="C184" i="1"/>
  <c r="C183" i="1"/>
  <c r="C182" i="1"/>
  <c r="C181" i="1"/>
  <c r="C180" i="1"/>
  <c r="L177" i="1"/>
  <c r="K177" i="1"/>
  <c r="J177" i="1"/>
  <c r="I177" i="1"/>
  <c r="H177" i="1"/>
  <c r="G177" i="1"/>
  <c r="F177" i="1"/>
  <c r="E177" i="1"/>
  <c r="D177" i="1"/>
  <c r="C177" i="1"/>
  <c r="F185" i="1"/>
  <c r="C185" i="1"/>
  <c r="H185" i="1"/>
  <c r="I173" i="1" l="1"/>
  <c r="L174" i="1"/>
  <c r="C172" i="1"/>
  <c r="G171" i="1"/>
  <c r="D163" i="1"/>
  <c r="E163" i="1"/>
  <c r="F163" i="1"/>
  <c r="G163" i="1"/>
  <c r="H163" i="1"/>
  <c r="I163" i="1"/>
  <c r="I168" i="1" s="1"/>
  <c r="J163" i="1"/>
  <c r="K163" i="1"/>
  <c r="L163" i="1"/>
  <c r="D164" i="1"/>
  <c r="E164" i="1"/>
  <c r="F164" i="1"/>
  <c r="G164" i="1"/>
  <c r="H164" i="1"/>
  <c r="H168" i="1" s="1"/>
  <c r="I164" i="1"/>
  <c r="J164" i="1"/>
  <c r="K164" i="1"/>
  <c r="L164" i="1"/>
  <c r="L168" i="1" s="1"/>
  <c r="D165" i="1"/>
  <c r="E165" i="1"/>
  <c r="F165" i="1"/>
  <c r="G165" i="1"/>
  <c r="G168" i="1" s="1"/>
  <c r="H165" i="1"/>
  <c r="I165" i="1"/>
  <c r="J165" i="1"/>
  <c r="K165" i="1"/>
  <c r="K168" i="1" s="1"/>
  <c r="L165" i="1"/>
  <c r="D166" i="1"/>
  <c r="E166" i="1"/>
  <c r="F166" i="1"/>
  <c r="G166" i="1"/>
  <c r="H166" i="1"/>
  <c r="I166" i="1"/>
  <c r="J166" i="1"/>
  <c r="K166" i="1"/>
  <c r="L166" i="1"/>
  <c r="D167" i="1"/>
  <c r="E167" i="1"/>
  <c r="F167" i="1"/>
  <c r="G167" i="1"/>
  <c r="H167" i="1"/>
  <c r="I167" i="1"/>
  <c r="J167" i="1"/>
  <c r="K167" i="1"/>
  <c r="L167" i="1"/>
  <c r="D168" i="1"/>
  <c r="C167" i="1"/>
  <c r="C166" i="1"/>
  <c r="C165" i="1"/>
  <c r="C164" i="1"/>
  <c r="C163" i="1"/>
  <c r="C168" i="1"/>
  <c r="D155" i="1"/>
  <c r="E155" i="1"/>
  <c r="F155" i="1"/>
  <c r="G155" i="1"/>
  <c r="H155" i="1"/>
  <c r="I155" i="1"/>
  <c r="J155" i="1"/>
  <c r="K155" i="1"/>
  <c r="L155" i="1"/>
  <c r="D156" i="1"/>
  <c r="E156" i="1"/>
  <c r="F156" i="1"/>
  <c r="G156" i="1"/>
  <c r="H156" i="1"/>
  <c r="I156" i="1"/>
  <c r="J156" i="1"/>
  <c r="K156" i="1"/>
  <c r="L156" i="1"/>
  <c r="D157" i="1"/>
  <c r="E157" i="1"/>
  <c r="E160" i="1" s="1"/>
  <c r="F157" i="1"/>
  <c r="G157" i="1"/>
  <c r="H157" i="1"/>
  <c r="I157" i="1"/>
  <c r="I160" i="1" s="1"/>
  <c r="J157" i="1"/>
  <c r="K157" i="1"/>
  <c r="L157" i="1"/>
  <c r="D158" i="1"/>
  <c r="D160" i="1" s="1"/>
  <c r="E158" i="1"/>
  <c r="F158" i="1"/>
  <c r="G158" i="1"/>
  <c r="H158" i="1"/>
  <c r="H160" i="1" s="1"/>
  <c r="I158" i="1"/>
  <c r="J158" i="1"/>
  <c r="K158" i="1"/>
  <c r="L158" i="1"/>
  <c r="L160" i="1" s="1"/>
  <c r="D159" i="1"/>
  <c r="E159" i="1"/>
  <c r="F159" i="1"/>
  <c r="G159" i="1"/>
  <c r="H159" i="1"/>
  <c r="I159" i="1"/>
  <c r="J159" i="1"/>
  <c r="K159" i="1"/>
  <c r="L159" i="1"/>
  <c r="C159" i="1"/>
  <c r="C158" i="1"/>
  <c r="C157" i="1"/>
  <c r="C156" i="1"/>
  <c r="C155" i="1"/>
  <c r="D147" i="1"/>
  <c r="H147" i="1"/>
  <c r="L147" i="1"/>
  <c r="G148" i="1"/>
  <c r="K148" i="1"/>
  <c r="F149" i="1"/>
  <c r="J149" i="1"/>
  <c r="E150" i="1"/>
  <c r="I150" i="1"/>
  <c r="D151" i="1"/>
  <c r="H151" i="1"/>
  <c r="L151" i="1"/>
  <c r="C149" i="1"/>
  <c r="D139" i="1"/>
  <c r="E139" i="1"/>
  <c r="F139" i="1"/>
  <c r="G139" i="1"/>
  <c r="H139" i="1"/>
  <c r="I139" i="1"/>
  <c r="J139" i="1"/>
  <c r="K139" i="1"/>
  <c r="L139" i="1"/>
  <c r="D140" i="1"/>
  <c r="E140" i="1"/>
  <c r="F140" i="1"/>
  <c r="G140" i="1"/>
  <c r="H140" i="1"/>
  <c r="I140" i="1"/>
  <c r="J140" i="1"/>
  <c r="K140" i="1"/>
  <c r="L140" i="1"/>
  <c r="D141" i="1"/>
  <c r="E141" i="1"/>
  <c r="F141" i="1"/>
  <c r="G141" i="1"/>
  <c r="H141" i="1"/>
  <c r="I141" i="1"/>
  <c r="J141" i="1"/>
  <c r="K141" i="1"/>
  <c r="L141" i="1"/>
  <c r="D142" i="1"/>
  <c r="D144" i="1" s="1"/>
  <c r="E142" i="1"/>
  <c r="F142" i="1"/>
  <c r="G142" i="1"/>
  <c r="H142" i="1"/>
  <c r="H144" i="1" s="1"/>
  <c r="I142" i="1"/>
  <c r="J142" i="1"/>
  <c r="K142" i="1"/>
  <c r="L142" i="1"/>
  <c r="L144" i="1" s="1"/>
  <c r="D143" i="1"/>
  <c r="E143" i="1"/>
  <c r="F143" i="1"/>
  <c r="G143" i="1"/>
  <c r="H143" i="1"/>
  <c r="I143" i="1"/>
  <c r="J143" i="1"/>
  <c r="K143" i="1"/>
  <c r="L143" i="1"/>
  <c r="C143" i="1"/>
  <c r="C142" i="1"/>
  <c r="C141" i="1"/>
  <c r="C140" i="1"/>
  <c r="C144" i="1" s="1"/>
  <c r="C139" i="1"/>
  <c r="D132" i="1"/>
  <c r="D148" i="1" s="1"/>
  <c r="E132" i="1"/>
  <c r="E148" i="1" s="1"/>
  <c r="F132" i="1"/>
  <c r="F148" i="1" s="1"/>
  <c r="G132" i="1"/>
  <c r="H132" i="1"/>
  <c r="H148" i="1" s="1"/>
  <c r="I132" i="1"/>
  <c r="I148" i="1" s="1"/>
  <c r="I152" i="1" s="1"/>
  <c r="J132" i="1"/>
  <c r="J148" i="1" s="1"/>
  <c r="K132" i="1"/>
  <c r="L132" i="1"/>
  <c r="L148" i="1" s="1"/>
  <c r="D133" i="1"/>
  <c r="E133" i="1"/>
  <c r="E149" i="1" s="1"/>
  <c r="F133" i="1"/>
  <c r="G133" i="1"/>
  <c r="G149" i="1" s="1"/>
  <c r="H133" i="1"/>
  <c r="I133" i="1"/>
  <c r="I149" i="1" s="1"/>
  <c r="J133" i="1"/>
  <c r="K133" i="1"/>
  <c r="K149" i="1" s="1"/>
  <c r="L133" i="1"/>
  <c r="D134" i="1"/>
  <c r="D150" i="1" s="1"/>
  <c r="E134" i="1"/>
  <c r="F134" i="1"/>
  <c r="F150" i="1" s="1"/>
  <c r="G134" i="1"/>
  <c r="G150" i="1" s="1"/>
  <c r="H134" i="1"/>
  <c r="H150" i="1" s="1"/>
  <c r="I134" i="1"/>
  <c r="J134" i="1"/>
  <c r="K134" i="1"/>
  <c r="K150" i="1" s="1"/>
  <c r="L134" i="1"/>
  <c r="L150" i="1" s="1"/>
  <c r="D135" i="1"/>
  <c r="E135" i="1"/>
  <c r="E151" i="1" s="1"/>
  <c r="F135" i="1"/>
  <c r="F151" i="1" s="1"/>
  <c r="G135" i="1"/>
  <c r="G151" i="1" s="1"/>
  <c r="H135" i="1"/>
  <c r="I135" i="1"/>
  <c r="I151" i="1" s="1"/>
  <c r="J135" i="1"/>
  <c r="J151" i="1" s="1"/>
  <c r="K135" i="1"/>
  <c r="K151" i="1" s="1"/>
  <c r="L135" i="1"/>
  <c r="F136" i="1"/>
  <c r="C135" i="1"/>
  <c r="C151" i="1" s="1"/>
  <c r="C134" i="1"/>
  <c r="C150" i="1" s="1"/>
  <c r="C133" i="1"/>
  <c r="C132" i="1"/>
  <c r="C148" i="1" s="1"/>
  <c r="D131" i="1"/>
  <c r="E131" i="1"/>
  <c r="E147" i="1" s="1"/>
  <c r="F131" i="1"/>
  <c r="F147" i="1" s="1"/>
  <c r="G131" i="1"/>
  <c r="H131" i="1"/>
  <c r="I131" i="1"/>
  <c r="I147" i="1" s="1"/>
  <c r="J131" i="1"/>
  <c r="J147" i="1" s="1"/>
  <c r="K131" i="1"/>
  <c r="L131" i="1"/>
  <c r="C131" i="1"/>
  <c r="C147" i="1" s="1"/>
  <c r="C86" i="1"/>
  <c r="D86" i="1"/>
  <c r="H86" i="1"/>
  <c r="I86" i="1"/>
  <c r="J86" i="1"/>
  <c r="K86" i="1"/>
  <c r="L86" i="1"/>
  <c r="M86" i="1"/>
  <c r="C87" i="1"/>
  <c r="D87" i="1"/>
  <c r="G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C89" i="1"/>
  <c r="D89" i="1"/>
  <c r="G89" i="1"/>
  <c r="K89" i="1"/>
  <c r="L89" i="1"/>
  <c r="M89" i="1"/>
  <c r="M85" i="1"/>
  <c r="L85" i="1"/>
  <c r="K85" i="1"/>
  <c r="J85" i="1"/>
  <c r="I85" i="1"/>
  <c r="H85" i="1"/>
  <c r="D85" i="1"/>
  <c r="C85" i="1"/>
  <c r="C71" i="1"/>
  <c r="D71" i="1"/>
  <c r="H71" i="1"/>
  <c r="G172" i="1" s="1"/>
  <c r="I71" i="1"/>
  <c r="J71" i="1"/>
  <c r="I172" i="1" s="1"/>
  <c r="K71" i="1"/>
  <c r="J172" i="1" s="1"/>
  <c r="L71" i="1"/>
  <c r="K172" i="1" s="1"/>
  <c r="M71" i="1"/>
  <c r="C72" i="1"/>
  <c r="D72" i="1"/>
  <c r="C173" i="1" s="1"/>
  <c r="G72" i="1"/>
  <c r="F173" i="1" s="1"/>
  <c r="I72" i="1"/>
  <c r="H173" i="1" s="1"/>
  <c r="J72" i="1"/>
  <c r="L72" i="1"/>
  <c r="M72" i="1"/>
  <c r="L173" i="1" s="1"/>
  <c r="C73" i="1"/>
  <c r="D73" i="1"/>
  <c r="C174" i="1" s="1"/>
  <c r="E73" i="1"/>
  <c r="D174" i="1" s="1"/>
  <c r="F73" i="1"/>
  <c r="E174" i="1" s="1"/>
  <c r="G73" i="1"/>
  <c r="H73" i="1"/>
  <c r="G174" i="1" s="1"/>
  <c r="I73" i="1"/>
  <c r="H174" i="1" s="1"/>
  <c r="J73" i="1"/>
  <c r="I174" i="1" s="1"/>
  <c r="K73" i="1"/>
  <c r="L73" i="1"/>
  <c r="K174" i="1" s="1"/>
  <c r="M73" i="1"/>
  <c r="C74" i="1"/>
  <c r="D74" i="1"/>
  <c r="C175" i="1" s="1"/>
  <c r="G74" i="1"/>
  <c r="F175" i="1" s="1"/>
  <c r="K74" i="1"/>
  <c r="J175" i="1" s="1"/>
  <c r="M74" i="1"/>
  <c r="L175" i="1" s="1"/>
  <c r="K70" i="1"/>
  <c r="J171" i="1" s="1"/>
  <c r="J70" i="1"/>
  <c r="I70" i="1"/>
  <c r="H171" i="1" s="1"/>
  <c r="H70" i="1"/>
  <c r="D70" i="1"/>
  <c r="C171" i="1" s="1"/>
  <c r="C176" i="1" s="1"/>
  <c r="C70" i="1"/>
  <c r="C59" i="1"/>
  <c r="D59" i="1"/>
  <c r="E59" i="1"/>
  <c r="C41" i="1"/>
  <c r="D41" i="1"/>
  <c r="E41" i="1"/>
  <c r="F41" i="1"/>
  <c r="G41" i="1"/>
  <c r="H41" i="1"/>
  <c r="I41" i="1"/>
  <c r="J41" i="1"/>
  <c r="K41" i="1"/>
  <c r="L41" i="1"/>
  <c r="M41" i="1"/>
  <c r="C42" i="1"/>
  <c r="D42" i="1"/>
  <c r="E42" i="1"/>
  <c r="F42" i="1"/>
  <c r="G42" i="1"/>
  <c r="H42" i="1"/>
  <c r="I42" i="1"/>
  <c r="J42" i="1"/>
  <c r="K42" i="1"/>
  <c r="L42" i="1"/>
  <c r="M42" i="1"/>
  <c r="C43" i="1"/>
  <c r="D43" i="1"/>
  <c r="E43" i="1"/>
  <c r="F43" i="1"/>
  <c r="G43" i="1"/>
  <c r="H43" i="1"/>
  <c r="I43" i="1"/>
  <c r="J43" i="1"/>
  <c r="K43" i="1"/>
  <c r="L43" i="1"/>
  <c r="M43" i="1"/>
  <c r="C44" i="1"/>
  <c r="D44" i="1"/>
  <c r="E44" i="1"/>
  <c r="F44" i="1"/>
  <c r="G44" i="1"/>
  <c r="H44" i="1"/>
  <c r="I44" i="1"/>
  <c r="J44" i="1"/>
  <c r="K44" i="1"/>
  <c r="L44" i="1"/>
  <c r="M44" i="1"/>
  <c r="M40" i="1"/>
  <c r="L40" i="1"/>
  <c r="K40" i="1"/>
  <c r="J40" i="1"/>
  <c r="I40" i="1"/>
  <c r="H40" i="1"/>
  <c r="G40" i="1"/>
  <c r="F40" i="1"/>
  <c r="E40" i="1"/>
  <c r="D40" i="1"/>
  <c r="C40" i="1"/>
  <c r="C26" i="1"/>
  <c r="D26" i="1"/>
  <c r="E26" i="1"/>
  <c r="F26" i="1"/>
  <c r="G26" i="1"/>
  <c r="H26" i="1"/>
  <c r="I26" i="1"/>
  <c r="J26" i="1"/>
  <c r="K26" i="1"/>
  <c r="L26" i="1"/>
  <c r="M26" i="1"/>
  <c r="C27" i="1"/>
  <c r="D27" i="1"/>
  <c r="E27" i="1"/>
  <c r="F27" i="1"/>
  <c r="G27" i="1"/>
  <c r="H27" i="1"/>
  <c r="I27" i="1"/>
  <c r="J27" i="1"/>
  <c r="K27" i="1"/>
  <c r="L27" i="1"/>
  <c r="M27" i="1"/>
  <c r="C28" i="1"/>
  <c r="D28" i="1"/>
  <c r="E28" i="1"/>
  <c r="F28" i="1"/>
  <c r="G28" i="1"/>
  <c r="H28" i="1"/>
  <c r="I28" i="1"/>
  <c r="J28" i="1"/>
  <c r="K28" i="1"/>
  <c r="L28" i="1"/>
  <c r="M28" i="1"/>
  <c r="C29" i="1"/>
  <c r="D29" i="1"/>
  <c r="E29" i="1"/>
  <c r="F29" i="1"/>
  <c r="G29" i="1"/>
  <c r="H29" i="1"/>
  <c r="I29" i="1"/>
  <c r="J29" i="1"/>
  <c r="K29" i="1"/>
  <c r="L29" i="1"/>
  <c r="M29" i="1"/>
  <c r="M25" i="1"/>
  <c r="L25" i="1"/>
  <c r="K25" i="1"/>
  <c r="J25" i="1"/>
  <c r="I25" i="1"/>
  <c r="H25" i="1"/>
  <c r="G25" i="1"/>
  <c r="F25" i="1"/>
  <c r="E25" i="1"/>
  <c r="D25" i="1"/>
  <c r="C25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M10" i="1"/>
  <c r="L10" i="1"/>
  <c r="K10" i="1"/>
  <c r="J10" i="1"/>
  <c r="I10" i="1"/>
  <c r="H10" i="1"/>
  <c r="G10" i="1"/>
  <c r="F10" i="1"/>
  <c r="E10" i="1"/>
  <c r="D10" i="1"/>
  <c r="C11" i="1"/>
  <c r="C12" i="1"/>
  <c r="C13" i="1"/>
  <c r="C14" i="1"/>
  <c r="C10" i="1"/>
  <c r="K173" i="1" l="1"/>
  <c r="C152" i="1"/>
  <c r="E152" i="1"/>
  <c r="I144" i="1"/>
  <c r="E144" i="1"/>
  <c r="L152" i="1"/>
  <c r="E168" i="1"/>
  <c r="I171" i="1"/>
  <c r="J174" i="1"/>
  <c r="F174" i="1"/>
  <c r="K147" i="1"/>
  <c r="K152" i="1" s="1"/>
  <c r="K136" i="1"/>
  <c r="G147" i="1"/>
  <c r="G152" i="1" s="1"/>
  <c r="G136" i="1"/>
  <c r="C136" i="1"/>
  <c r="K144" i="1"/>
  <c r="G144" i="1"/>
  <c r="K160" i="1"/>
  <c r="G160" i="1"/>
  <c r="L172" i="1"/>
  <c r="H172" i="1"/>
  <c r="F152" i="1"/>
  <c r="J136" i="1"/>
  <c r="J150" i="1"/>
  <c r="J152" i="1" s="1"/>
  <c r="J144" i="1"/>
  <c r="F144" i="1"/>
  <c r="L136" i="1"/>
  <c r="H136" i="1"/>
  <c r="D136" i="1"/>
  <c r="J168" i="1"/>
  <c r="F168" i="1"/>
  <c r="C160" i="1"/>
  <c r="J160" i="1"/>
  <c r="F160" i="1"/>
  <c r="I136" i="1"/>
  <c r="E136" i="1"/>
  <c r="L149" i="1"/>
  <c r="H149" i="1"/>
  <c r="H152" i="1" s="1"/>
  <c r="D149" i="1"/>
  <c r="D152" i="1" s="1"/>
  <c r="N69" i="2"/>
  <c r="M69" i="2"/>
  <c r="L69" i="2"/>
  <c r="K69" i="2"/>
  <c r="J69" i="2"/>
  <c r="I69" i="2"/>
  <c r="H69" i="2"/>
  <c r="G69" i="2"/>
  <c r="F69" i="2"/>
  <c r="N68" i="2"/>
  <c r="M68" i="2"/>
  <c r="L68" i="2"/>
  <c r="K68" i="2"/>
  <c r="J68" i="2"/>
  <c r="I68" i="2"/>
  <c r="H68" i="2"/>
  <c r="G68" i="2"/>
  <c r="F68" i="2"/>
  <c r="N67" i="2"/>
  <c r="M67" i="2"/>
  <c r="M70" i="2" s="1"/>
  <c r="L67" i="2"/>
  <c r="K67" i="2"/>
  <c r="J67" i="2"/>
  <c r="I67" i="2"/>
  <c r="I70" i="2" s="1"/>
  <c r="H67" i="2"/>
  <c r="G67" i="2"/>
  <c r="F67" i="2"/>
  <c r="N66" i="2"/>
  <c r="N70" i="2" s="1"/>
  <c r="M66" i="2"/>
  <c r="L66" i="2"/>
  <c r="K66" i="2"/>
  <c r="J66" i="2"/>
  <c r="J70" i="2" s="1"/>
  <c r="I66" i="2"/>
  <c r="H66" i="2"/>
  <c r="G66" i="2"/>
  <c r="F66" i="2"/>
  <c r="F70" i="2" s="1"/>
  <c r="N65" i="2"/>
  <c r="M65" i="2"/>
  <c r="L65" i="2"/>
  <c r="K65" i="2"/>
  <c r="K70" i="2" s="1"/>
  <c r="J65" i="2"/>
  <c r="I65" i="2"/>
  <c r="H65" i="2"/>
  <c r="G65" i="2"/>
  <c r="F65" i="2"/>
  <c r="L70" i="2"/>
  <c r="E69" i="2"/>
  <c r="E68" i="2"/>
  <c r="E67" i="2"/>
  <c r="E66" i="2"/>
  <c r="E65" i="2"/>
  <c r="E70" i="2" s="1"/>
  <c r="H70" i="2" l="1"/>
  <c r="G70" i="2"/>
  <c r="N109" i="2"/>
  <c r="M109" i="2"/>
  <c r="L109" i="2"/>
  <c r="K109" i="2"/>
  <c r="J109" i="2"/>
  <c r="I109" i="2"/>
  <c r="H109" i="2"/>
  <c r="G109" i="2"/>
  <c r="F109" i="2"/>
  <c r="E109" i="2"/>
  <c r="N96" i="2"/>
  <c r="M96" i="2"/>
  <c r="L96" i="2"/>
  <c r="K96" i="2"/>
  <c r="J96" i="2"/>
  <c r="I96" i="2"/>
  <c r="H96" i="2"/>
  <c r="G96" i="2"/>
  <c r="F96" i="2"/>
  <c r="E96" i="2"/>
  <c r="N83" i="2"/>
  <c r="M83" i="2"/>
  <c r="L83" i="2"/>
  <c r="K83" i="2"/>
  <c r="J83" i="2"/>
  <c r="I83" i="2"/>
  <c r="H83" i="2"/>
  <c r="G83" i="2"/>
  <c r="F83" i="2"/>
  <c r="E83" i="2"/>
  <c r="N57" i="2"/>
  <c r="M57" i="2"/>
  <c r="L57" i="2"/>
  <c r="K57" i="2"/>
  <c r="J57" i="2"/>
  <c r="I57" i="2"/>
  <c r="H57" i="2"/>
  <c r="G57" i="2"/>
  <c r="F57" i="2"/>
  <c r="E57" i="2"/>
  <c r="N43" i="2"/>
  <c r="M43" i="2"/>
  <c r="L43" i="2"/>
  <c r="K43" i="2"/>
  <c r="J43" i="2"/>
  <c r="I43" i="2"/>
  <c r="H43" i="2"/>
  <c r="G43" i="2"/>
  <c r="F43" i="2"/>
  <c r="E43" i="2"/>
  <c r="N29" i="2"/>
  <c r="M29" i="2"/>
  <c r="L29" i="2"/>
  <c r="K29" i="2"/>
  <c r="J29" i="2"/>
  <c r="I29" i="2"/>
  <c r="H29" i="2"/>
  <c r="G29" i="2"/>
  <c r="F29" i="2"/>
  <c r="E29" i="2"/>
  <c r="N16" i="2"/>
  <c r="M16" i="2"/>
  <c r="L16" i="2"/>
  <c r="K16" i="2"/>
  <c r="J16" i="2"/>
  <c r="I16" i="2"/>
  <c r="H16" i="2"/>
  <c r="G16" i="2"/>
  <c r="F16" i="2"/>
  <c r="E16" i="2"/>
  <c r="E74" i="2"/>
  <c r="J34" i="2"/>
  <c r="M48" i="2"/>
  <c r="F87" i="2"/>
  <c r="B87" i="2"/>
  <c r="C20" i="2"/>
  <c r="B100" i="2"/>
  <c r="J7" i="2"/>
  <c r="I100" i="2"/>
  <c r="N74" i="2"/>
  <c r="N20" i="2"/>
  <c r="B7" i="2"/>
  <c r="E34" i="2"/>
  <c r="N48" i="2"/>
  <c r="G20" i="2"/>
  <c r="K34" i="2"/>
  <c r="B86" i="2"/>
  <c r="L87" i="2"/>
  <c r="J74" i="2"/>
  <c r="B34" i="2"/>
  <c r="G87" i="2"/>
  <c r="L74" i="2"/>
  <c r="I87" i="2"/>
  <c r="G74" i="2"/>
  <c r="H87" i="2"/>
  <c r="I7" i="2"/>
  <c r="E87" i="2"/>
  <c r="J48" i="2"/>
  <c r="K74" i="2"/>
  <c r="E20" i="2"/>
  <c r="C100" i="2"/>
  <c r="M20" i="2"/>
  <c r="M74" i="2"/>
  <c r="B33" i="2"/>
  <c r="B20" i="2"/>
  <c r="N87" i="2"/>
  <c r="L48" i="2"/>
  <c r="G7" i="2"/>
  <c r="I20" i="2"/>
  <c r="H74" i="2"/>
  <c r="K87" i="2"/>
  <c r="B48" i="2"/>
  <c r="C87" i="2"/>
  <c r="L100" i="2"/>
  <c r="N100" i="2"/>
  <c r="H20" i="2"/>
  <c r="G48" i="2"/>
  <c r="L34" i="2"/>
  <c r="C7" i="2"/>
  <c r="F20" i="2"/>
  <c r="F7" i="2"/>
  <c r="B74" i="2"/>
  <c r="D34" i="2"/>
  <c r="C74" i="2"/>
  <c r="D87" i="2"/>
  <c r="I34" i="2"/>
  <c r="H7" i="2"/>
  <c r="M34" i="2"/>
  <c r="I48" i="2"/>
  <c r="L20" i="2"/>
  <c r="B99" i="2"/>
  <c r="F34" i="2"/>
  <c r="M100" i="2"/>
  <c r="H34" i="2"/>
  <c r="C34" i="2"/>
  <c r="K7" i="2"/>
  <c r="M87" i="2"/>
  <c r="D48" i="2"/>
  <c r="G34" i="2"/>
  <c r="L7" i="2"/>
  <c r="J20" i="2"/>
  <c r="E100" i="2"/>
  <c r="B47" i="2"/>
  <c r="B19" i="2"/>
  <c r="K100" i="2"/>
  <c r="B73" i="2"/>
  <c r="D100" i="2"/>
  <c r="K48" i="2"/>
  <c r="H48" i="2"/>
  <c r="E7" i="2"/>
  <c r="N34" i="2"/>
  <c r="K20" i="2"/>
  <c r="I74" i="2"/>
  <c r="F48" i="2"/>
  <c r="E48" i="2"/>
  <c r="N7" i="2"/>
  <c r="M7" i="2"/>
  <c r="J100" i="2"/>
  <c r="D7" i="2"/>
  <c r="C48" i="2"/>
  <c r="J87" i="2"/>
  <c r="G100" i="2"/>
  <c r="D20" i="2"/>
  <c r="D74" i="2"/>
  <c r="H100" i="2"/>
  <c r="F100" i="2"/>
  <c r="F74" i="2"/>
  <c r="AR122" i="1" l="1"/>
  <c r="AQ122" i="1"/>
  <c r="AP122" i="1"/>
  <c r="AO122" i="1"/>
  <c r="AN122" i="1"/>
  <c r="AM122" i="1"/>
  <c r="BL122" i="1" s="1"/>
  <c r="AL122" i="1"/>
  <c r="AK122" i="1"/>
  <c r="AJ122" i="1"/>
  <c r="AI122" i="1"/>
  <c r="X119" i="1"/>
  <c r="W119" i="1"/>
  <c r="V119" i="1"/>
  <c r="U119" i="1"/>
  <c r="T119" i="1"/>
  <c r="S119" i="1"/>
  <c r="R119" i="1"/>
  <c r="Q119" i="1"/>
  <c r="P119" i="1"/>
  <c r="O119" i="1"/>
  <c r="X110" i="1"/>
  <c r="AS108" i="1"/>
  <c r="AR108" i="1"/>
  <c r="AQ108" i="1"/>
  <c r="AP108" i="1"/>
  <c r="AO108" i="1"/>
  <c r="AN108" i="1"/>
  <c r="AM108" i="1"/>
  <c r="AL108" i="1"/>
  <c r="AK108" i="1"/>
  <c r="AJ108" i="1"/>
  <c r="AI108" i="1"/>
  <c r="AW107" i="1"/>
  <c r="AR107" i="1"/>
  <c r="AQ107" i="1"/>
  <c r="AP107" i="1"/>
  <c r="AO107" i="1"/>
  <c r="AN107" i="1"/>
  <c r="AM107" i="1"/>
  <c r="AL107" i="1"/>
  <c r="AK107" i="1"/>
  <c r="AJ107" i="1"/>
  <c r="AI107" i="1"/>
  <c r="BE104" i="1"/>
  <c r="BD104" i="1"/>
  <c r="BC104" i="1"/>
  <c r="BB104" i="1"/>
  <c r="BA104" i="1"/>
  <c r="AY104" i="1"/>
  <c r="AX104" i="1"/>
  <c r="AW104" i="1"/>
  <c r="AV104" i="1"/>
  <c r="AU104" i="1"/>
  <c r="AT104" i="1"/>
  <c r="AH104" i="1"/>
  <c r="AG104" i="1"/>
  <c r="AF104" i="1"/>
  <c r="AE104" i="1"/>
  <c r="X104" i="1"/>
  <c r="W104" i="1"/>
  <c r="V104" i="1"/>
  <c r="U104" i="1"/>
  <c r="T104" i="1"/>
  <c r="S104" i="1"/>
  <c r="R104" i="1"/>
  <c r="Q104" i="1"/>
  <c r="P104" i="1"/>
  <c r="O104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BU103" i="1" s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BE102" i="1"/>
  <c r="BD102" i="1"/>
  <c r="BC102" i="1"/>
  <c r="BB102" i="1"/>
  <c r="BA102" i="1"/>
  <c r="AZ102" i="1"/>
  <c r="AY102" i="1"/>
  <c r="AW102" i="1"/>
  <c r="AV102" i="1"/>
  <c r="AU102" i="1"/>
  <c r="AT102" i="1"/>
  <c r="AS102" i="1"/>
  <c r="AR102" i="1"/>
  <c r="AQ102" i="1"/>
  <c r="J102" i="1" s="1"/>
  <c r="AP102" i="1"/>
  <c r="AO102" i="1"/>
  <c r="AN102" i="1"/>
  <c r="AM102" i="1"/>
  <c r="I102" i="1" s="1"/>
  <c r="AI102" i="1"/>
  <c r="AH102" i="1"/>
  <c r="AG102" i="1"/>
  <c r="AF102" i="1"/>
  <c r="AE102" i="1"/>
  <c r="Z102" i="1"/>
  <c r="X102" i="1"/>
  <c r="W102" i="1"/>
  <c r="V102" i="1"/>
  <c r="U102" i="1"/>
  <c r="T102" i="1"/>
  <c r="S102" i="1"/>
  <c r="R102" i="1"/>
  <c r="Q102" i="1"/>
  <c r="P102" i="1"/>
  <c r="O102" i="1"/>
  <c r="BE101" i="1"/>
  <c r="BP101" i="1" s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X101" i="1"/>
  <c r="W101" i="1"/>
  <c r="V101" i="1"/>
  <c r="U101" i="1"/>
  <c r="T101" i="1"/>
  <c r="S101" i="1"/>
  <c r="R101" i="1"/>
  <c r="Q101" i="1"/>
  <c r="P101" i="1"/>
  <c r="O101" i="1"/>
  <c r="AZ100" i="1"/>
  <c r="AY100" i="1"/>
  <c r="AX100" i="1"/>
  <c r="AW100" i="1"/>
  <c r="AV100" i="1"/>
  <c r="AU100" i="1"/>
  <c r="K100" i="1" s="1"/>
  <c r="AT100" i="1"/>
  <c r="AS100" i="1"/>
  <c r="AR100" i="1"/>
  <c r="AQ100" i="1"/>
  <c r="J100" i="1" s="1"/>
  <c r="AP100" i="1"/>
  <c r="AO100" i="1"/>
  <c r="AN100" i="1"/>
  <c r="AM100" i="1"/>
  <c r="AL100" i="1"/>
  <c r="AK100" i="1"/>
  <c r="AJ100" i="1"/>
  <c r="AI100" i="1"/>
  <c r="H100" i="1" s="1"/>
  <c r="X100" i="1"/>
  <c r="W100" i="1"/>
  <c r="V100" i="1"/>
  <c r="U100" i="1"/>
  <c r="T100" i="1"/>
  <c r="S100" i="1"/>
  <c r="R100" i="1"/>
  <c r="Q100" i="1"/>
  <c r="P100" i="1"/>
  <c r="O100" i="1"/>
  <c r="AR96" i="1"/>
  <c r="BE95" i="1"/>
  <c r="BD95" i="1"/>
  <c r="BC95" i="1"/>
  <c r="BC97" i="1" s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K96" i="1" s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W97" i="1" s="1"/>
  <c r="V95" i="1"/>
  <c r="U95" i="1"/>
  <c r="T95" i="1"/>
  <c r="S95" i="1"/>
  <c r="R95" i="1"/>
  <c r="Q95" i="1"/>
  <c r="P95" i="1"/>
  <c r="O95" i="1"/>
  <c r="BE94" i="1"/>
  <c r="CB94" i="1" s="1"/>
  <c r="BD94" i="1"/>
  <c r="CA94" i="1" s="1"/>
  <c r="BC94" i="1"/>
  <c r="BB94" i="1"/>
  <c r="BS94" i="1" s="1"/>
  <c r="BA94" i="1"/>
  <c r="AZ94" i="1"/>
  <c r="BW94" i="1" s="1"/>
  <c r="AY94" i="1"/>
  <c r="AX94" i="1"/>
  <c r="BR94" i="1" s="1"/>
  <c r="AW94" i="1"/>
  <c r="AV94" i="1"/>
  <c r="AU94" i="1"/>
  <c r="AT94" i="1"/>
  <c r="BU94" i="1" s="1"/>
  <c r="AS94" i="1"/>
  <c r="AR94" i="1"/>
  <c r="AQ94" i="1"/>
  <c r="AP94" i="1"/>
  <c r="AP96" i="1" s="1"/>
  <c r="AO94" i="1"/>
  <c r="AN94" i="1"/>
  <c r="AN96" i="1" s="1"/>
  <c r="AM94" i="1"/>
  <c r="AL94" i="1"/>
  <c r="AL96" i="1" s="1"/>
  <c r="AK94" i="1"/>
  <c r="AJ94" i="1"/>
  <c r="AJ96" i="1" s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V96" i="1" s="1"/>
  <c r="U94" i="1"/>
  <c r="T94" i="1"/>
  <c r="S94" i="1"/>
  <c r="R94" i="1"/>
  <c r="Q94" i="1"/>
  <c r="P94" i="1"/>
  <c r="O94" i="1"/>
  <c r="BT93" i="1"/>
  <c r="BL93" i="1"/>
  <c r="BE93" i="1"/>
  <c r="BD93" i="1"/>
  <c r="BC93" i="1"/>
  <c r="BB93" i="1"/>
  <c r="BA93" i="1"/>
  <c r="AZ93" i="1"/>
  <c r="BR93" i="1" s="1"/>
  <c r="AY93" i="1"/>
  <c r="AX93" i="1"/>
  <c r="AW93" i="1"/>
  <c r="AV93" i="1"/>
  <c r="AU93" i="1"/>
  <c r="AT93" i="1"/>
  <c r="BU93" i="1" s="1"/>
  <c r="AH93" i="1"/>
  <c r="AG93" i="1"/>
  <c r="AF93" i="1"/>
  <c r="AE93" i="1"/>
  <c r="AD93" i="1"/>
  <c r="AC93" i="1"/>
  <c r="AB93" i="1"/>
  <c r="AA93" i="1"/>
  <c r="Z93" i="1"/>
  <c r="Y93" i="1"/>
  <c r="X93" i="1"/>
  <c r="X108" i="1" s="1"/>
  <c r="W93" i="1"/>
  <c r="W108" i="1" s="1"/>
  <c r="V93" i="1"/>
  <c r="U93" i="1"/>
  <c r="U97" i="1" s="1"/>
  <c r="T93" i="1"/>
  <c r="S93" i="1"/>
  <c r="R93" i="1"/>
  <c r="Q93" i="1"/>
  <c r="P93" i="1"/>
  <c r="O93" i="1"/>
  <c r="O108" i="1" s="1"/>
  <c r="BW92" i="1"/>
  <c r="BT92" i="1"/>
  <c r="BL92" i="1"/>
  <c r="BE92" i="1"/>
  <c r="BD92" i="1"/>
  <c r="BC92" i="1"/>
  <c r="BX92" i="1" s="1"/>
  <c r="BB92" i="1"/>
  <c r="BA92" i="1"/>
  <c r="AZ92" i="1"/>
  <c r="BO92" i="1" s="1"/>
  <c r="AY92" i="1"/>
  <c r="AY97" i="1" s="1"/>
  <c r="AX92" i="1"/>
  <c r="AW92" i="1"/>
  <c r="AV92" i="1"/>
  <c r="AU92" i="1"/>
  <c r="BN92" i="1" s="1"/>
  <c r="AT92" i="1"/>
  <c r="AS92" i="1"/>
  <c r="AH92" i="1"/>
  <c r="AG92" i="1"/>
  <c r="AF92" i="1"/>
  <c r="AF96" i="1" s="1"/>
  <c r="AE92" i="1"/>
  <c r="BD90" i="1"/>
  <c r="BC90" i="1"/>
  <c r="BB90" i="1"/>
  <c r="BA90" i="1"/>
  <c r="AZ90" i="1"/>
  <c r="AY90" i="1"/>
  <c r="L90" i="1" s="1"/>
  <c r="AX90" i="1"/>
  <c r="AW90" i="1"/>
  <c r="AV90" i="1"/>
  <c r="AU90" i="1"/>
  <c r="K90" i="1" s="1"/>
  <c r="AT90" i="1"/>
  <c r="AJ90" i="1"/>
  <c r="X90" i="1"/>
  <c r="W90" i="1"/>
  <c r="V90" i="1"/>
  <c r="U90" i="1"/>
  <c r="T90" i="1"/>
  <c r="S90" i="1"/>
  <c r="R90" i="1"/>
  <c r="Q90" i="1"/>
  <c r="P90" i="1"/>
  <c r="O90" i="1"/>
  <c r="CB89" i="1"/>
  <c r="CA89" i="1"/>
  <c r="BX89" i="1"/>
  <c r="BW89" i="1"/>
  <c r="BV89" i="1"/>
  <c r="BS89" i="1"/>
  <c r="BR89" i="1"/>
  <c r="BP89" i="1"/>
  <c r="CK89" i="1" s="1"/>
  <c r="BO89" i="1"/>
  <c r="BN89" i="1"/>
  <c r="AS89" i="1"/>
  <c r="AR89" i="1"/>
  <c r="AR97" i="1" s="1"/>
  <c r="AQ89" i="1"/>
  <c r="BM89" i="1" s="1"/>
  <c r="AP89" i="1"/>
  <c r="AO89" i="1"/>
  <c r="AO90" i="1" s="1"/>
  <c r="AN89" i="1"/>
  <c r="AN97" i="1" s="1"/>
  <c r="AM89" i="1"/>
  <c r="AL89" i="1"/>
  <c r="AK89" i="1"/>
  <c r="AK90" i="1" s="1"/>
  <c r="AJ89" i="1"/>
  <c r="AJ97" i="1" s="1"/>
  <c r="AI89" i="1"/>
  <c r="AD89" i="1"/>
  <c r="AC89" i="1"/>
  <c r="AB89" i="1"/>
  <c r="AA89" i="1"/>
  <c r="Z89" i="1"/>
  <c r="Y89" i="1"/>
  <c r="E89" i="1" s="1"/>
  <c r="BY88" i="1"/>
  <c r="BX88" i="1"/>
  <c r="CF88" i="1" s="1"/>
  <c r="BW88" i="1"/>
  <c r="BV88" i="1"/>
  <c r="BU88" i="1"/>
  <c r="BT88" i="1"/>
  <c r="BR88" i="1"/>
  <c r="BO88" i="1"/>
  <c r="BN88" i="1"/>
  <c r="BM88" i="1"/>
  <c r="BL88" i="1"/>
  <c r="BE88" i="1"/>
  <c r="CB87" i="1"/>
  <c r="CA87" i="1"/>
  <c r="BX87" i="1"/>
  <c r="BW87" i="1"/>
  <c r="BV87" i="1"/>
  <c r="BU87" i="1"/>
  <c r="BT87" i="1"/>
  <c r="BS87" i="1"/>
  <c r="BR87" i="1"/>
  <c r="BP87" i="1"/>
  <c r="BO87" i="1"/>
  <c r="BN87" i="1"/>
  <c r="BM87" i="1"/>
  <c r="BL87" i="1"/>
  <c r="AL87" i="1"/>
  <c r="AD87" i="1"/>
  <c r="AC87" i="1"/>
  <c r="AB87" i="1"/>
  <c r="AA87" i="1"/>
  <c r="F87" i="1" s="1"/>
  <c r="Z87" i="1"/>
  <c r="Y87" i="1"/>
  <c r="E87" i="1" s="1"/>
  <c r="CB86" i="1"/>
  <c r="CA86" i="1"/>
  <c r="BY86" i="1"/>
  <c r="CC86" i="1" s="1"/>
  <c r="BX86" i="1"/>
  <c r="BW86" i="1"/>
  <c r="BV86" i="1"/>
  <c r="BU86" i="1"/>
  <c r="BT86" i="1"/>
  <c r="BS86" i="1"/>
  <c r="CD86" i="1" s="1"/>
  <c r="BR86" i="1"/>
  <c r="BP86" i="1"/>
  <c r="BO86" i="1"/>
  <c r="BN86" i="1"/>
  <c r="CJ86" i="1" s="1"/>
  <c r="BM86" i="1"/>
  <c r="BL86" i="1"/>
  <c r="CH86" i="1" s="1"/>
  <c r="AH86" i="1"/>
  <c r="AG86" i="1"/>
  <c r="AF86" i="1"/>
  <c r="AE86" i="1"/>
  <c r="AD86" i="1"/>
  <c r="AC86" i="1"/>
  <c r="AB86" i="1"/>
  <c r="AA86" i="1"/>
  <c r="Z86" i="1"/>
  <c r="CC85" i="1"/>
  <c r="CB85" i="1"/>
  <c r="CA85" i="1"/>
  <c r="BY85" i="1"/>
  <c r="BX85" i="1"/>
  <c r="CF85" i="1" s="1"/>
  <c r="BW85" i="1"/>
  <c r="BV85" i="1"/>
  <c r="BU85" i="1"/>
  <c r="BT85" i="1"/>
  <c r="BS85" i="1"/>
  <c r="BR85" i="1"/>
  <c r="BP85" i="1"/>
  <c r="BO85" i="1"/>
  <c r="BN85" i="1"/>
  <c r="BM85" i="1"/>
  <c r="CH85" i="1" s="1"/>
  <c r="BL85" i="1"/>
  <c r="AH85" i="1"/>
  <c r="AG85" i="1"/>
  <c r="AF85" i="1"/>
  <c r="AE85" i="1"/>
  <c r="AD85" i="1"/>
  <c r="AD90" i="1" s="1"/>
  <c r="AC85" i="1"/>
  <c r="AB85" i="1"/>
  <c r="AA85" i="1"/>
  <c r="Z85" i="1"/>
  <c r="Y85" i="1"/>
  <c r="O82" i="1"/>
  <c r="BE80" i="1"/>
  <c r="BD80" i="1"/>
  <c r="BD110" i="1" s="1"/>
  <c r="BC80" i="1"/>
  <c r="BB80" i="1"/>
  <c r="BA80" i="1"/>
  <c r="AZ80" i="1"/>
  <c r="AZ110" i="1" s="1"/>
  <c r="AY80" i="1"/>
  <c r="AX80" i="1"/>
  <c r="AX110" i="1" s="1"/>
  <c r="AW80" i="1"/>
  <c r="AV80" i="1"/>
  <c r="AV110" i="1" s="1"/>
  <c r="AU80" i="1"/>
  <c r="AT80" i="1"/>
  <c r="AT110" i="1" s="1"/>
  <c r="AS80" i="1"/>
  <c r="AR80" i="1"/>
  <c r="AR110" i="1" s="1"/>
  <c r="AQ80" i="1"/>
  <c r="AP80" i="1"/>
  <c r="AP110" i="1" s="1"/>
  <c r="AO80" i="1"/>
  <c r="AO110" i="1" s="1"/>
  <c r="AN80" i="1"/>
  <c r="AN110" i="1" s="1"/>
  <c r="AM80" i="1"/>
  <c r="AL80" i="1"/>
  <c r="AL110" i="1" s="1"/>
  <c r="AK80" i="1"/>
  <c r="AJ80" i="1"/>
  <c r="AJ110" i="1" s="1"/>
  <c r="AI80" i="1"/>
  <c r="AH80" i="1"/>
  <c r="AH110" i="1" s="1"/>
  <c r="AG80" i="1"/>
  <c r="AF80" i="1"/>
  <c r="AF110" i="1" s="1"/>
  <c r="AE80" i="1"/>
  <c r="AD80" i="1"/>
  <c r="AD110" i="1" s="1"/>
  <c r="AC80" i="1"/>
  <c r="AB80" i="1"/>
  <c r="AB110" i="1" s="1"/>
  <c r="AA80" i="1"/>
  <c r="Z80" i="1"/>
  <c r="Z110" i="1" s="1"/>
  <c r="Y80" i="1"/>
  <c r="X80" i="1"/>
  <c r="W80" i="1"/>
  <c r="V80" i="1"/>
  <c r="U80" i="1"/>
  <c r="T80" i="1"/>
  <c r="T110" i="1" s="1"/>
  <c r="S80" i="1"/>
  <c r="R80" i="1"/>
  <c r="R110" i="1" s="1"/>
  <c r="Q80" i="1"/>
  <c r="P80" i="1"/>
  <c r="P110" i="1" s="1"/>
  <c r="O80" i="1"/>
  <c r="CA79" i="1"/>
  <c r="BE79" i="1"/>
  <c r="BE109" i="1" s="1"/>
  <c r="BD79" i="1"/>
  <c r="BD109" i="1" s="1"/>
  <c r="BC79" i="1"/>
  <c r="BB79" i="1"/>
  <c r="BB109" i="1" s="1"/>
  <c r="BA79" i="1"/>
  <c r="BA109" i="1" s="1"/>
  <c r="AZ79" i="1"/>
  <c r="AZ109" i="1" s="1"/>
  <c r="AY79" i="1"/>
  <c r="AX79" i="1"/>
  <c r="AW79" i="1"/>
  <c r="AW109" i="1" s="1"/>
  <c r="AV79" i="1"/>
  <c r="AV109" i="1" s="1"/>
  <c r="AU79" i="1"/>
  <c r="AU109" i="1" s="1"/>
  <c r="AT79" i="1"/>
  <c r="AS79" i="1"/>
  <c r="AS109" i="1" s="1"/>
  <c r="AR79" i="1"/>
  <c r="AR109" i="1" s="1"/>
  <c r="AQ79" i="1"/>
  <c r="AP79" i="1"/>
  <c r="AO79" i="1"/>
  <c r="AO109" i="1" s="1"/>
  <c r="AN79" i="1"/>
  <c r="AN109" i="1" s="1"/>
  <c r="AM79" i="1"/>
  <c r="AL79" i="1"/>
  <c r="AL109" i="1" s="1"/>
  <c r="AK79" i="1"/>
  <c r="AK109" i="1" s="1"/>
  <c r="AJ79" i="1"/>
  <c r="AI79" i="1"/>
  <c r="AH79" i="1"/>
  <c r="AH109" i="1" s="1"/>
  <c r="AG79" i="1"/>
  <c r="AG109" i="1" s="1"/>
  <c r="AF79" i="1"/>
  <c r="AF109" i="1" s="1"/>
  <c r="AE79" i="1"/>
  <c r="AE109" i="1" s="1"/>
  <c r="AD79" i="1"/>
  <c r="AD81" i="1" s="1"/>
  <c r="AC79" i="1"/>
  <c r="AC109" i="1" s="1"/>
  <c r="AB79" i="1"/>
  <c r="AA79" i="1"/>
  <c r="AA109" i="1" s="1"/>
  <c r="Z79" i="1"/>
  <c r="Z109" i="1" s="1"/>
  <c r="Y79" i="1"/>
  <c r="Y109" i="1" s="1"/>
  <c r="X79" i="1"/>
  <c r="X82" i="1" s="1"/>
  <c r="W79" i="1"/>
  <c r="V79" i="1"/>
  <c r="V109" i="1" s="1"/>
  <c r="U79" i="1"/>
  <c r="U109" i="1" s="1"/>
  <c r="T79" i="1"/>
  <c r="S79" i="1"/>
  <c r="S82" i="1" s="1"/>
  <c r="R79" i="1"/>
  <c r="Q79" i="1"/>
  <c r="P79" i="1"/>
  <c r="P81" i="1" s="1"/>
  <c r="O79" i="1"/>
  <c r="BU78" i="1"/>
  <c r="BT78" i="1"/>
  <c r="BL78" i="1"/>
  <c r="BE78" i="1"/>
  <c r="BD78" i="1"/>
  <c r="BC78" i="1"/>
  <c r="BB78" i="1"/>
  <c r="BB108" i="1" s="1"/>
  <c r="BA78" i="1"/>
  <c r="AZ78" i="1"/>
  <c r="BO78" i="1" s="1"/>
  <c r="AY78" i="1"/>
  <c r="AY108" i="1" s="1"/>
  <c r="AX78" i="1"/>
  <c r="AW78" i="1"/>
  <c r="AV78" i="1"/>
  <c r="AU78" i="1"/>
  <c r="AT78" i="1"/>
  <c r="AH78" i="1"/>
  <c r="AH108" i="1" s="1"/>
  <c r="AG78" i="1"/>
  <c r="AF78" i="1"/>
  <c r="AF108" i="1" s="1"/>
  <c r="AE78" i="1"/>
  <c r="AE108" i="1" s="1"/>
  <c r="AD78" i="1"/>
  <c r="AC78" i="1"/>
  <c r="AB78" i="1"/>
  <c r="AA78" i="1"/>
  <c r="Z78" i="1"/>
  <c r="Y78" i="1"/>
  <c r="BT77" i="1"/>
  <c r="BL77" i="1"/>
  <c r="BE77" i="1"/>
  <c r="BE107" i="1" s="1"/>
  <c r="BD77" i="1"/>
  <c r="BD107" i="1" s="1"/>
  <c r="BC77" i="1"/>
  <c r="BB77" i="1"/>
  <c r="BA77" i="1"/>
  <c r="AZ77" i="1"/>
  <c r="AY77" i="1"/>
  <c r="AX77" i="1"/>
  <c r="AW77" i="1"/>
  <c r="AV77" i="1"/>
  <c r="AV107" i="1" s="1"/>
  <c r="AU77" i="1"/>
  <c r="AU81" i="1" s="1"/>
  <c r="AT77" i="1"/>
  <c r="AS77" i="1"/>
  <c r="AH77" i="1"/>
  <c r="AG77" i="1"/>
  <c r="AF77" i="1"/>
  <c r="AE77" i="1"/>
  <c r="AE122" i="1" s="1"/>
  <c r="BE75" i="1"/>
  <c r="AY75" i="1"/>
  <c r="AW75" i="1"/>
  <c r="AV75" i="1"/>
  <c r="AU75" i="1"/>
  <c r="AT75" i="1"/>
  <c r="AL75" i="1"/>
  <c r="X75" i="1"/>
  <c r="W75" i="1"/>
  <c r="V75" i="1"/>
  <c r="U75" i="1"/>
  <c r="T75" i="1"/>
  <c r="S75" i="1"/>
  <c r="D75" i="1" s="1"/>
  <c r="R75" i="1"/>
  <c r="Q75" i="1"/>
  <c r="P75" i="1"/>
  <c r="O75" i="1"/>
  <c r="C75" i="1" s="1"/>
  <c r="CB74" i="1"/>
  <c r="CA74" i="1"/>
  <c r="BX74" i="1"/>
  <c r="BV74" i="1"/>
  <c r="BS74" i="1"/>
  <c r="BP74" i="1"/>
  <c r="BO74" i="1"/>
  <c r="BN74" i="1"/>
  <c r="AZ74" i="1"/>
  <c r="AS74" i="1"/>
  <c r="AS75" i="1" s="1"/>
  <c r="AR74" i="1"/>
  <c r="AQ74" i="1"/>
  <c r="AP74" i="1"/>
  <c r="AO74" i="1"/>
  <c r="AN74" i="1"/>
  <c r="AM74" i="1"/>
  <c r="AL74" i="1"/>
  <c r="AL104" i="1" s="1"/>
  <c r="AK74" i="1"/>
  <c r="AJ74" i="1"/>
  <c r="AJ104" i="1" s="1"/>
  <c r="AI74" i="1"/>
  <c r="AD74" i="1"/>
  <c r="AD104" i="1" s="1"/>
  <c r="AC74" i="1"/>
  <c r="AB74" i="1"/>
  <c r="AA74" i="1"/>
  <c r="Z74" i="1"/>
  <c r="Y74" i="1"/>
  <c r="Y119" i="1" s="1"/>
  <c r="CB73" i="1"/>
  <c r="CA73" i="1"/>
  <c r="BY73" i="1"/>
  <c r="CC73" i="1" s="1"/>
  <c r="BX73" i="1"/>
  <c r="BW73" i="1"/>
  <c r="BV73" i="1"/>
  <c r="BU73" i="1"/>
  <c r="BT73" i="1"/>
  <c r="BS73" i="1"/>
  <c r="BR73" i="1"/>
  <c r="BP73" i="1"/>
  <c r="BO73" i="1"/>
  <c r="BN73" i="1"/>
  <c r="BM73" i="1"/>
  <c r="BL73" i="1"/>
  <c r="CB72" i="1"/>
  <c r="CA72" i="1"/>
  <c r="BX72" i="1"/>
  <c r="BW72" i="1"/>
  <c r="BU72" i="1"/>
  <c r="BT72" i="1"/>
  <c r="BS72" i="1"/>
  <c r="BP72" i="1"/>
  <c r="CK72" i="1" s="1"/>
  <c r="BO72" i="1"/>
  <c r="BN72" i="1"/>
  <c r="CI72" i="1" s="1"/>
  <c r="BM72" i="1"/>
  <c r="BL72" i="1"/>
  <c r="AX72" i="1"/>
  <c r="K72" i="1" s="1"/>
  <c r="J173" i="1" s="1"/>
  <c r="J176" i="1" s="1"/>
  <c r="AL72" i="1"/>
  <c r="AK72" i="1"/>
  <c r="AK102" i="1" s="1"/>
  <c r="AJ72" i="1"/>
  <c r="H72" i="1" s="1"/>
  <c r="G173" i="1" s="1"/>
  <c r="AD72" i="1"/>
  <c r="AD102" i="1" s="1"/>
  <c r="AC72" i="1"/>
  <c r="AC102" i="1" s="1"/>
  <c r="AB72" i="1"/>
  <c r="AB102" i="1" s="1"/>
  <c r="AA72" i="1"/>
  <c r="F72" i="1" s="1"/>
  <c r="E173" i="1" s="1"/>
  <c r="Z72" i="1"/>
  <c r="Y72" i="1"/>
  <c r="E72" i="1" s="1"/>
  <c r="D173" i="1" s="1"/>
  <c r="CB71" i="1"/>
  <c r="CA71" i="1"/>
  <c r="BY71" i="1"/>
  <c r="CC71" i="1" s="1"/>
  <c r="BX71" i="1"/>
  <c r="CF71" i="1" s="1"/>
  <c r="BW71" i="1"/>
  <c r="BV71" i="1"/>
  <c r="BU71" i="1"/>
  <c r="BT71" i="1"/>
  <c r="BS71" i="1"/>
  <c r="BR71" i="1"/>
  <c r="CD71" i="1" s="1"/>
  <c r="BP71" i="1"/>
  <c r="BO71" i="1"/>
  <c r="CK71" i="1" s="1"/>
  <c r="BN71" i="1"/>
  <c r="BM71" i="1"/>
  <c r="CH71" i="1" s="1"/>
  <c r="BL71" i="1"/>
  <c r="AH71" i="1"/>
  <c r="AG71" i="1"/>
  <c r="AF71" i="1"/>
  <c r="AF101" i="1" s="1"/>
  <c r="AE71" i="1"/>
  <c r="AD71" i="1"/>
  <c r="AC71" i="1"/>
  <c r="AB71" i="1"/>
  <c r="AB101" i="1" s="1"/>
  <c r="AA71" i="1"/>
  <c r="Z71" i="1"/>
  <c r="Y71" i="1"/>
  <c r="CI70" i="1"/>
  <c r="BV70" i="1"/>
  <c r="BU70" i="1"/>
  <c r="BT70" i="1"/>
  <c r="BN70" i="1"/>
  <c r="BM70" i="1"/>
  <c r="BL70" i="1"/>
  <c r="BE70" i="1"/>
  <c r="BE100" i="1" s="1"/>
  <c r="BD70" i="1"/>
  <c r="BD100" i="1" s="1"/>
  <c r="BC70" i="1"/>
  <c r="BB70" i="1"/>
  <c r="BB75" i="1" s="1"/>
  <c r="BA70" i="1"/>
  <c r="AH70" i="1"/>
  <c r="AG70" i="1"/>
  <c r="AF70" i="1"/>
  <c r="AE70" i="1"/>
  <c r="AD70" i="1"/>
  <c r="AD100" i="1" s="1"/>
  <c r="AC70" i="1"/>
  <c r="AB70" i="1"/>
  <c r="AB75" i="1" s="1"/>
  <c r="AA70" i="1"/>
  <c r="Z70" i="1"/>
  <c r="Y70" i="1"/>
  <c r="AZ65" i="1"/>
  <c r="AZ125" i="1" s="1"/>
  <c r="S65" i="1"/>
  <c r="S125" i="1" s="1"/>
  <c r="AZ64" i="1"/>
  <c r="AZ63" i="1"/>
  <c r="AM63" i="1"/>
  <c r="BT62" i="1"/>
  <c r="BL62" i="1"/>
  <c r="BE62" i="1"/>
  <c r="BD62" i="1"/>
  <c r="BC62" i="1"/>
  <c r="BB62" i="1"/>
  <c r="BA62" i="1"/>
  <c r="BA122" i="1" s="1"/>
  <c r="AZ62" i="1"/>
  <c r="AY62" i="1"/>
  <c r="BR62" i="1" s="1"/>
  <c r="AX62" i="1"/>
  <c r="AW62" i="1"/>
  <c r="AV62" i="1"/>
  <c r="AU62" i="1"/>
  <c r="AT62" i="1"/>
  <c r="AS62" i="1"/>
  <c r="CB59" i="1"/>
  <c r="BE59" i="1"/>
  <c r="BD59" i="1"/>
  <c r="BC59" i="1"/>
  <c r="BB59" i="1"/>
  <c r="BB119" i="1" s="1"/>
  <c r="BA59" i="1"/>
  <c r="BA119" i="1" s="1"/>
  <c r="AZ59" i="1"/>
  <c r="AZ119" i="1" s="1"/>
  <c r="AY59" i="1"/>
  <c r="AX59" i="1"/>
  <c r="AW59" i="1"/>
  <c r="AW119" i="1" s="1"/>
  <c r="AV59" i="1"/>
  <c r="AU59" i="1"/>
  <c r="AT59" i="1"/>
  <c r="AT119" i="1" s="1"/>
  <c r="AS59" i="1"/>
  <c r="AR59" i="1"/>
  <c r="AQ59" i="1"/>
  <c r="AP59" i="1"/>
  <c r="AP119" i="1" s="1"/>
  <c r="AO59" i="1"/>
  <c r="AN59" i="1"/>
  <c r="AM59" i="1"/>
  <c r="AL59" i="1"/>
  <c r="AL119" i="1" s="1"/>
  <c r="AK59" i="1"/>
  <c r="AJ59" i="1"/>
  <c r="AI59" i="1"/>
  <c r="AH59" i="1"/>
  <c r="AH119" i="1" s="1"/>
  <c r="AG59" i="1"/>
  <c r="AG119" i="1" s="1"/>
  <c r="AF59" i="1"/>
  <c r="AF119" i="1" s="1"/>
  <c r="AE59" i="1"/>
  <c r="AD59" i="1"/>
  <c r="AC59" i="1"/>
  <c r="AB59" i="1"/>
  <c r="BE58" i="1"/>
  <c r="BD58" i="1"/>
  <c r="BD118" i="1" s="1"/>
  <c r="BC58" i="1"/>
  <c r="BB58" i="1"/>
  <c r="BA58" i="1"/>
  <c r="BA118" i="1" s="1"/>
  <c r="AZ58" i="1"/>
  <c r="AZ118" i="1" s="1"/>
  <c r="AY58" i="1"/>
  <c r="AX58" i="1"/>
  <c r="AX118" i="1" s="1"/>
  <c r="AW58" i="1"/>
  <c r="AW118" i="1" s="1"/>
  <c r="AV58" i="1"/>
  <c r="AV118" i="1" s="1"/>
  <c r="AU58" i="1"/>
  <c r="AT58" i="1"/>
  <c r="AT118" i="1" s="1"/>
  <c r="AS58" i="1"/>
  <c r="AS118" i="1" s="1"/>
  <c r="AR58" i="1"/>
  <c r="AQ58" i="1"/>
  <c r="AP58" i="1"/>
  <c r="AP118" i="1" s="1"/>
  <c r="AO58" i="1"/>
  <c r="AO118" i="1" s="1"/>
  <c r="AN58" i="1"/>
  <c r="AN118" i="1" s="1"/>
  <c r="AM58" i="1"/>
  <c r="AL58" i="1"/>
  <c r="AL118" i="1" s="1"/>
  <c r="AK58" i="1"/>
  <c r="AK118" i="1" s="1"/>
  <c r="AJ58" i="1"/>
  <c r="AJ118" i="1" s="1"/>
  <c r="AI58" i="1"/>
  <c r="AH58" i="1"/>
  <c r="AH118" i="1" s="1"/>
  <c r="AG58" i="1"/>
  <c r="AG118" i="1" s="1"/>
  <c r="AF58" i="1"/>
  <c r="AF118" i="1" s="1"/>
  <c r="AE58" i="1"/>
  <c r="AD58" i="1"/>
  <c r="AD118" i="1" s="1"/>
  <c r="AC58" i="1"/>
  <c r="AC118" i="1" s="1"/>
  <c r="AB58" i="1"/>
  <c r="AB118" i="1" s="1"/>
  <c r="AA58" i="1"/>
  <c r="Z58" i="1"/>
  <c r="Z118" i="1" s="1"/>
  <c r="Y58" i="1"/>
  <c r="Y118" i="1" s="1"/>
  <c r="X58" i="1"/>
  <c r="X118" i="1" s="1"/>
  <c r="W58" i="1"/>
  <c r="V58" i="1"/>
  <c r="V118" i="1" s="1"/>
  <c r="U58" i="1"/>
  <c r="U118" i="1" s="1"/>
  <c r="T58" i="1"/>
  <c r="T118" i="1" s="1"/>
  <c r="S58" i="1"/>
  <c r="R58" i="1"/>
  <c r="R118" i="1" s="1"/>
  <c r="Q58" i="1"/>
  <c r="Q118" i="1" s="1"/>
  <c r="P58" i="1"/>
  <c r="P118" i="1" s="1"/>
  <c r="O58" i="1"/>
  <c r="BE57" i="1"/>
  <c r="BE117" i="1" s="1"/>
  <c r="BD57" i="1"/>
  <c r="BD117" i="1" s="1"/>
  <c r="BC57" i="1"/>
  <c r="M57" i="1" s="1"/>
  <c r="BB57" i="1"/>
  <c r="BB117" i="1" s="1"/>
  <c r="BA57" i="1"/>
  <c r="BA117" i="1" s="1"/>
  <c r="AZ57" i="1"/>
  <c r="AZ117" i="1" s="1"/>
  <c r="AY57" i="1"/>
  <c r="AX57" i="1"/>
  <c r="AW57" i="1"/>
  <c r="AW117" i="1" s="1"/>
  <c r="AV57" i="1"/>
  <c r="AV117" i="1" s="1"/>
  <c r="AU57" i="1"/>
  <c r="K57" i="1" s="1"/>
  <c r="AT57" i="1"/>
  <c r="AT117" i="1" s="1"/>
  <c r="AS57" i="1"/>
  <c r="AS117" i="1" s="1"/>
  <c r="AR57" i="1"/>
  <c r="AR117" i="1" s="1"/>
  <c r="AQ57" i="1"/>
  <c r="AP57" i="1"/>
  <c r="AP117" i="1" s="1"/>
  <c r="AO57" i="1"/>
  <c r="AO117" i="1" s="1"/>
  <c r="AN57" i="1"/>
  <c r="AN117" i="1" s="1"/>
  <c r="AM57" i="1"/>
  <c r="I57" i="1" s="1"/>
  <c r="AL57" i="1"/>
  <c r="AK57" i="1"/>
  <c r="AJ57" i="1"/>
  <c r="AI57" i="1"/>
  <c r="AH57" i="1"/>
  <c r="AH117" i="1" s="1"/>
  <c r="AG57" i="1"/>
  <c r="AG117" i="1" s="1"/>
  <c r="AF57" i="1"/>
  <c r="AF117" i="1" s="1"/>
  <c r="AE57" i="1"/>
  <c r="AD57" i="1"/>
  <c r="AD117" i="1" s="1"/>
  <c r="AC57" i="1"/>
  <c r="AC117" i="1" s="1"/>
  <c r="AB57" i="1"/>
  <c r="AA57" i="1"/>
  <c r="F57" i="1" s="1"/>
  <c r="Z57" i="1"/>
  <c r="Z117" i="1" s="1"/>
  <c r="Y57" i="1"/>
  <c r="Y117" i="1" s="1"/>
  <c r="X57" i="1"/>
  <c r="X117" i="1" s="1"/>
  <c r="W57" i="1"/>
  <c r="V57" i="1"/>
  <c r="V117" i="1" s="1"/>
  <c r="U57" i="1"/>
  <c r="T57" i="1"/>
  <c r="T117" i="1" s="1"/>
  <c r="S57" i="1"/>
  <c r="R57" i="1"/>
  <c r="R117" i="1" s="1"/>
  <c r="Q57" i="1"/>
  <c r="Q117" i="1" s="1"/>
  <c r="P57" i="1"/>
  <c r="P117" i="1" s="1"/>
  <c r="O57" i="1"/>
  <c r="BE56" i="1"/>
  <c r="BE116" i="1" s="1"/>
  <c r="BD56" i="1"/>
  <c r="BD116" i="1" s="1"/>
  <c r="BC56" i="1"/>
  <c r="BB56" i="1"/>
  <c r="BB116" i="1" s="1"/>
  <c r="BA56" i="1"/>
  <c r="BA116" i="1" s="1"/>
  <c r="AZ56" i="1"/>
  <c r="AZ116" i="1" s="1"/>
  <c r="AY56" i="1"/>
  <c r="L56" i="1" s="1"/>
  <c r="AX56" i="1"/>
  <c r="AX116" i="1" s="1"/>
  <c r="AW56" i="1"/>
  <c r="AW116" i="1" s="1"/>
  <c r="AV56" i="1"/>
  <c r="AV116" i="1" s="1"/>
  <c r="AU56" i="1"/>
  <c r="AT56" i="1"/>
  <c r="AT116" i="1" s="1"/>
  <c r="AS56" i="1"/>
  <c r="AS116" i="1" s="1"/>
  <c r="AR56" i="1"/>
  <c r="AR116" i="1" s="1"/>
  <c r="AQ56" i="1"/>
  <c r="AP56" i="1"/>
  <c r="AP116" i="1" s="1"/>
  <c r="AO56" i="1"/>
  <c r="AO116" i="1" s="1"/>
  <c r="AN56" i="1"/>
  <c r="AN116" i="1" s="1"/>
  <c r="AM56" i="1"/>
  <c r="I56" i="1" s="1"/>
  <c r="AL56" i="1"/>
  <c r="AL116" i="1" s="1"/>
  <c r="AK56" i="1"/>
  <c r="AK116" i="1" s="1"/>
  <c r="AJ56" i="1"/>
  <c r="AJ116" i="1" s="1"/>
  <c r="AI56" i="1"/>
  <c r="H56" i="1" s="1"/>
  <c r="AH56" i="1"/>
  <c r="AG56" i="1"/>
  <c r="AG116" i="1" s="1"/>
  <c r="AF56" i="1"/>
  <c r="AE56" i="1"/>
  <c r="AD56" i="1"/>
  <c r="AC56" i="1"/>
  <c r="AC116" i="1" s="1"/>
  <c r="AB56" i="1"/>
  <c r="AA56" i="1"/>
  <c r="Z56" i="1"/>
  <c r="Y56" i="1"/>
  <c r="Y116" i="1" s="1"/>
  <c r="X56" i="1"/>
  <c r="X116" i="1" s="1"/>
  <c r="W56" i="1"/>
  <c r="V56" i="1"/>
  <c r="V116" i="1" s="1"/>
  <c r="U56" i="1"/>
  <c r="U116" i="1" s="1"/>
  <c r="T56" i="1"/>
  <c r="T116" i="1" s="1"/>
  <c r="S56" i="1"/>
  <c r="R56" i="1"/>
  <c r="R116" i="1" s="1"/>
  <c r="Q56" i="1"/>
  <c r="Q116" i="1" s="1"/>
  <c r="P56" i="1"/>
  <c r="P116" i="1" s="1"/>
  <c r="O56" i="1"/>
  <c r="BE55" i="1"/>
  <c r="BE115" i="1" s="1"/>
  <c r="BD55" i="1"/>
  <c r="BC55" i="1"/>
  <c r="BB55" i="1"/>
  <c r="BA55" i="1"/>
  <c r="AZ55" i="1"/>
  <c r="AY55" i="1"/>
  <c r="AX55" i="1"/>
  <c r="AX115" i="1" s="1"/>
  <c r="AW55" i="1"/>
  <c r="AW115" i="1" s="1"/>
  <c r="AV55" i="1"/>
  <c r="AV115" i="1" s="1"/>
  <c r="AU55" i="1"/>
  <c r="AT55" i="1"/>
  <c r="AS55" i="1"/>
  <c r="AR55" i="1"/>
  <c r="AQ55" i="1"/>
  <c r="AP55" i="1"/>
  <c r="AO55" i="1"/>
  <c r="AN55" i="1"/>
  <c r="AN115" i="1" s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Y115" i="1" s="1"/>
  <c r="X55" i="1"/>
  <c r="W55" i="1"/>
  <c r="V55" i="1"/>
  <c r="U55" i="1"/>
  <c r="U115" i="1" s="1"/>
  <c r="T55" i="1"/>
  <c r="S55" i="1"/>
  <c r="R55" i="1"/>
  <c r="Q55" i="1"/>
  <c r="Q115" i="1" s="1"/>
  <c r="P55" i="1"/>
  <c r="P115" i="1" s="1"/>
  <c r="O55" i="1"/>
  <c r="AI52" i="1"/>
  <c r="S52" i="1"/>
  <c r="AT51" i="1"/>
  <c r="AB51" i="1"/>
  <c r="CA50" i="1"/>
  <c r="BE50" i="1"/>
  <c r="BD50" i="1"/>
  <c r="BC50" i="1"/>
  <c r="BB50" i="1"/>
  <c r="BA50" i="1"/>
  <c r="CB50" i="1" s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BS49" i="1"/>
  <c r="BE49" i="1"/>
  <c r="BD49" i="1"/>
  <c r="BC49" i="1"/>
  <c r="BB49" i="1"/>
  <c r="BA49" i="1"/>
  <c r="CB49" i="1" s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BE48" i="1"/>
  <c r="BE52" i="1" s="1"/>
  <c r="BD48" i="1"/>
  <c r="BC48" i="1"/>
  <c r="BB48" i="1"/>
  <c r="BB51" i="1" s="1"/>
  <c r="BA48" i="1"/>
  <c r="BA52" i="1" s="1"/>
  <c r="AZ48" i="1"/>
  <c r="AY48" i="1"/>
  <c r="AX48" i="1"/>
  <c r="AX52" i="1" s="1"/>
  <c r="AW48" i="1"/>
  <c r="AV48" i="1"/>
  <c r="AV51" i="1" s="1"/>
  <c r="AU48" i="1"/>
  <c r="AT48" i="1"/>
  <c r="AS48" i="1"/>
  <c r="AS52" i="1" s="1"/>
  <c r="AR48" i="1"/>
  <c r="AQ48" i="1"/>
  <c r="AP48" i="1"/>
  <c r="AP51" i="1" s="1"/>
  <c r="AO48" i="1"/>
  <c r="AN48" i="1"/>
  <c r="AM48" i="1"/>
  <c r="AL48" i="1"/>
  <c r="AK48" i="1"/>
  <c r="AJ48" i="1"/>
  <c r="AJ52" i="1" s="1"/>
  <c r="AI48" i="1"/>
  <c r="AI51" i="1" s="1"/>
  <c r="AH48" i="1"/>
  <c r="AH51" i="1" s="1"/>
  <c r="AG48" i="1"/>
  <c r="AF48" i="1"/>
  <c r="AE48" i="1"/>
  <c r="AD48" i="1"/>
  <c r="AC48" i="1"/>
  <c r="AB48" i="1"/>
  <c r="AB52" i="1" s="1"/>
  <c r="AA48" i="1"/>
  <c r="AA52" i="1" s="1"/>
  <c r="Z48" i="1"/>
  <c r="Z52" i="1" s="1"/>
  <c r="Y48" i="1"/>
  <c r="X48" i="1"/>
  <c r="X51" i="1" s="1"/>
  <c r="W48" i="1"/>
  <c r="V48" i="1"/>
  <c r="V51" i="1" s="1"/>
  <c r="U48" i="1"/>
  <c r="U52" i="1" s="1"/>
  <c r="T48" i="1"/>
  <c r="T52" i="1" s="1"/>
  <c r="S48" i="1"/>
  <c r="R48" i="1"/>
  <c r="R52" i="1" s="1"/>
  <c r="Q48" i="1"/>
  <c r="P48" i="1"/>
  <c r="P51" i="1" s="1"/>
  <c r="O48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CC44" i="1"/>
  <c r="CB44" i="1"/>
  <c r="CA44" i="1"/>
  <c r="BY44" i="1"/>
  <c r="BX44" i="1"/>
  <c r="CF44" i="1" s="1"/>
  <c r="BW44" i="1"/>
  <c r="BV44" i="1"/>
  <c r="BU44" i="1"/>
  <c r="BT44" i="1"/>
  <c r="BS44" i="1"/>
  <c r="CD44" i="1" s="1"/>
  <c r="BR44" i="1"/>
  <c r="BP44" i="1"/>
  <c r="CK44" i="1" s="1"/>
  <c r="BO44" i="1"/>
  <c r="BN44" i="1"/>
  <c r="BM44" i="1"/>
  <c r="BL44" i="1"/>
  <c r="CB43" i="1"/>
  <c r="CA43" i="1"/>
  <c r="BY43" i="1"/>
  <c r="CC43" i="1" s="1"/>
  <c r="BX43" i="1"/>
  <c r="BW43" i="1"/>
  <c r="BV43" i="1"/>
  <c r="BU43" i="1"/>
  <c r="BT43" i="1"/>
  <c r="BS43" i="1"/>
  <c r="CD43" i="1" s="1"/>
  <c r="BR43" i="1"/>
  <c r="BP43" i="1"/>
  <c r="BO43" i="1"/>
  <c r="CK43" i="1" s="1"/>
  <c r="BN43" i="1"/>
  <c r="CI43" i="1" s="1"/>
  <c r="BM43" i="1"/>
  <c r="CH43" i="1" s="1"/>
  <c r="BL43" i="1"/>
  <c r="CB42" i="1"/>
  <c r="CA42" i="1"/>
  <c r="BY42" i="1"/>
  <c r="CC42" i="1" s="1"/>
  <c r="BX42" i="1"/>
  <c r="BW42" i="1"/>
  <c r="BV42" i="1"/>
  <c r="BU42" i="1"/>
  <c r="BT42" i="1"/>
  <c r="BS42" i="1"/>
  <c r="BR42" i="1"/>
  <c r="BP42" i="1"/>
  <c r="BO42" i="1"/>
  <c r="BN42" i="1"/>
  <c r="BM42" i="1"/>
  <c r="BL42" i="1"/>
  <c r="CB41" i="1"/>
  <c r="CA41" i="1"/>
  <c r="BY41" i="1"/>
  <c r="CC41" i="1" s="1"/>
  <c r="BX41" i="1"/>
  <c r="BW41" i="1"/>
  <c r="BV41" i="1"/>
  <c r="BU41" i="1"/>
  <c r="BT41" i="1"/>
  <c r="BS41" i="1"/>
  <c r="BR41" i="1"/>
  <c r="BP41" i="1"/>
  <c r="BO41" i="1"/>
  <c r="CJ41" i="1" s="1"/>
  <c r="BN41" i="1"/>
  <c r="BM41" i="1"/>
  <c r="BL41" i="1"/>
  <c r="CB40" i="1"/>
  <c r="CA40" i="1"/>
  <c r="BY40" i="1"/>
  <c r="BX40" i="1"/>
  <c r="BW40" i="1"/>
  <c r="BV40" i="1"/>
  <c r="BU40" i="1"/>
  <c r="BT40" i="1"/>
  <c r="BS40" i="1"/>
  <c r="CD40" i="1" s="1"/>
  <c r="BR40" i="1"/>
  <c r="BP40" i="1"/>
  <c r="BO40" i="1"/>
  <c r="BN40" i="1"/>
  <c r="BM40" i="1"/>
  <c r="BL40" i="1"/>
  <c r="AX36" i="1"/>
  <c r="Z36" i="1"/>
  <c r="BE35" i="1"/>
  <c r="CB35" i="1" s="1"/>
  <c r="BD35" i="1"/>
  <c r="CA35" i="1" s="1"/>
  <c r="BC35" i="1"/>
  <c r="BB35" i="1"/>
  <c r="BA35" i="1"/>
  <c r="AZ35" i="1"/>
  <c r="AY35" i="1"/>
  <c r="AX35" i="1"/>
  <c r="AW35" i="1"/>
  <c r="AV35" i="1"/>
  <c r="BV35" i="1" s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BE34" i="1"/>
  <c r="CB34" i="1" s="1"/>
  <c r="BD34" i="1"/>
  <c r="CA34" i="1" s="1"/>
  <c r="BC34" i="1"/>
  <c r="BB34" i="1"/>
  <c r="BA34" i="1"/>
  <c r="AZ34" i="1"/>
  <c r="AY34" i="1"/>
  <c r="BW34" i="1" s="1"/>
  <c r="AX34" i="1"/>
  <c r="AW34" i="1"/>
  <c r="AV34" i="1"/>
  <c r="AU34" i="1"/>
  <c r="BV34" i="1" s="1"/>
  <c r="AT34" i="1"/>
  <c r="AS34" i="1"/>
  <c r="AR34" i="1"/>
  <c r="AQ34" i="1"/>
  <c r="BM34" i="1" s="1"/>
  <c r="AP34" i="1"/>
  <c r="AP36" i="1" s="1"/>
  <c r="AO34" i="1"/>
  <c r="AN34" i="1"/>
  <c r="AM34" i="1"/>
  <c r="BL34" i="1" s="1"/>
  <c r="AL34" i="1"/>
  <c r="AK34" i="1"/>
  <c r="AJ34" i="1"/>
  <c r="AI34" i="1"/>
  <c r="AH34" i="1"/>
  <c r="AG34" i="1"/>
  <c r="AF34" i="1"/>
  <c r="AE34" i="1"/>
  <c r="AE37" i="1" s="1"/>
  <c r="AD34" i="1"/>
  <c r="AC34" i="1"/>
  <c r="AB34" i="1"/>
  <c r="AA34" i="1"/>
  <c r="Z34" i="1"/>
  <c r="Y34" i="1"/>
  <c r="X34" i="1"/>
  <c r="W34" i="1"/>
  <c r="W36" i="1" s="1"/>
  <c r="V34" i="1"/>
  <c r="U34" i="1"/>
  <c r="T34" i="1"/>
  <c r="S34" i="1"/>
  <c r="R34" i="1"/>
  <c r="Q34" i="1"/>
  <c r="P34" i="1"/>
  <c r="O34" i="1"/>
  <c r="O64" i="1" s="1"/>
  <c r="O124" i="1" s="1"/>
  <c r="BE33" i="1"/>
  <c r="BD33" i="1"/>
  <c r="BC33" i="1"/>
  <c r="BC36" i="1" s="1"/>
  <c r="BB33" i="1"/>
  <c r="BS33" i="1" s="1"/>
  <c r="BA33" i="1"/>
  <c r="BA36" i="1" s="1"/>
  <c r="AZ33" i="1"/>
  <c r="AY33" i="1"/>
  <c r="AX33" i="1"/>
  <c r="AW33" i="1"/>
  <c r="AW36" i="1" s="1"/>
  <c r="AV33" i="1"/>
  <c r="AU33" i="1"/>
  <c r="AT33" i="1"/>
  <c r="AS33" i="1"/>
  <c r="AS37" i="1" s="1"/>
  <c r="AR33" i="1"/>
  <c r="AQ33" i="1"/>
  <c r="AP33" i="1"/>
  <c r="AO33" i="1"/>
  <c r="AN33" i="1"/>
  <c r="AM33" i="1"/>
  <c r="AM36" i="1" s="1"/>
  <c r="AL33" i="1"/>
  <c r="AK33" i="1"/>
  <c r="AJ33" i="1"/>
  <c r="AI33" i="1"/>
  <c r="AH33" i="1"/>
  <c r="AH37" i="1" s="1"/>
  <c r="AG33" i="1"/>
  <c r="AF33" i="1"/>
  <c r="AE33" i="1"/>
  <c r="AD33" i="1"/>
  <c r="AC33" i="1"/>
  <c r="AC37" i="1" s="1"/>
  <c r="AB33" i="1"/>
  <c r="AA33" i="1"/>
  <c r="Z33" i="1"/>
  <c r="Y33" i="1"/>
  <c r="Y36" i="1" s="1"/>
  <c r="X33" i="1"/>
  <c r="W33" i="1"/>
  <c r="V33" i="1"/>
  <c r="V37" i="1" s="1"/>
  <c r="U33" i="1"/>
  <c r="U37" i="1" s="1"/>
  <c r="T33" i="1"/>
  <c r="S33" i="1"/>
  <c r="R33" i="1"/>
  <c r="Q33" i="1"/>
  <c r="P33" i="1"/>
  <c r="O33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CB29" i="1"/>
  <c r="CA29" i="1"/>
  <c r="BY29" i="1"/>
  <c r="CC29" i="1" s="1"/>
  <c r="BX29" i="1"/>
  <c r="BW29" i="1"/>
  <c r="BV29" i="1"/>
  <c r="BU29" i="1"/>
  <c r="BT29" i="1"/>
  <c r="BS29" i="1"/>
  <c r="BR29" i="1"/>
  <c r="BP29" i="1"/>
  <c r="CK29" i="1" s="1"/>
  <c r="BO29" i="1"/>
  <c r="BN29" i="1"/>
  <c r="BM29" i="1"/>
  <c r="CH29" i="1" s="1"/>
  <c r="BL29" i="1"/>
  <c r="CC28" i="1"/>
  <c r="CB28" i="1"/>
  <c r="CA28" i="1"/>
  <c r="BY28" i="1"/>
  <c r="BX28" i="1"/>
  <c r="CF28" i="1" s="1"/>
  <c r="BW28" i="1"/>
  <c r="BV28" i="1"/>
  <c r="BU28" i="1"/>
  <c r="BT28" i="1"/>
  <c r="BS28" i="1"/>
  <c r="CD28" i="1" s="1"/>
  <c r="BR28" i="1"/>
  <c r="BP28" i="1"/>
  <c r="BO28" i="1"/>
  <c r="BN28" i="1"/>
  <c r="BM28" i="1"/>
  <c r="BL28" i="1"/>
  <c r="CB27" i="1"/>
  <c r="CA27" i="1"/>
  <c r="BY27" i="1"/>
  <c r="CC27" i="1" s="1"/>
  <c r="BX27" i="1"/>
  <c r="CF27" i="1" s="1"/>
  <c r="BW27" i="1"/>
  <c r="BV27" i="1"/>
  <c r="BU27" i="1"/>
  <c r="BT27" i="1"/>
  <c r="BS27" i="1"/>
  <c r="BR27" i="1"/>
  <c r="BP27" i="1"/>
  <c r="BO27" i="1"/>
  <c r="CJ27" i="1" s="1"/>
  <c r="BN27" i="1"/>
  <c r="BM27" i="1"/>
  <c r="BL27" i="1"/>
  <c r="CB26" i="1"/>
  <c r="CA26" i="1"/>
  <c r="BY26" i="1"/>
  <c r="CC26" i="1" s="1"/>
  <c r="BX26" i="1"/>
  <c r="CF26" i="1" s="1"/>
  <c r="BW26" i="1"/>
  <c r="BV26" i="1"/>
  <c r="BU26" i="1"/>
  <c r="BT26" i="1"/>
  <c r="BS26" i="1"/>
  <c r="CD26" i="1" s="1"/>
  <c r="BR26" i="1"/>
  <c r="BP26" i="1"/>
  <c r="BO26" i="1"/>
  <c r="BN26" i="1"/>
  <c r="CI26" i="1" s="1"/>
  <c r="BM26" i="1"/>
  <c r="CH26" i="1" s="1"/>
  <c r="BL26" i="1"/>
  <c r="CC25" i="1"/>
  <c r="CB25" i="1"/>
  <c r="CA25" i="1"/>
  <c r="BY25" i="1"/>
  <c r="BX25" i="1"/>
  <c r="BW25" i="1"/>
  <c r="BV25" i="1"/>
  <c r="BU25" i="1"/>
  <c r="BT25" i="1"/>
  <c r="BS25" i="1"/>
  <c r="CD25" i="1" s="1"/>
  <c r="BR25" i="1"/>
  <c r="BP25" i="1"/>
  <c r="BO25" i="1"/>
  <c r="BN25" i="1"/>
  <c r="CI25" i="1" s="1"/>
  <c r="BM25" i="1"/>
  <c r="BL25" i="1"/>
  <c r="AI21" i="1"/>
  <c r="BE20" i="1"/>
  <c r="BD20" i="1"/>
  <c r="BC20" i="1"/>
  <c r="BC65" i="1" s="1"/>
  <c r="BB20" i="1"/>
  <c r="BA20" i="1"/>
  <c r="AZ20" i="1"/>
  <c r="AY20" i="1"/>
  <c r="AX20" i="1"/>
  <c r="AX65" i="1" s="1"/>
  <c r="AW20" i="1"/>
  <c r="AW65" i="1" s="1"/>
  <c r="AW125" i="1" s="1"/>
  <c r="AV20" i="1"/>
  <c r="AU20" i="1"/>
  <c r="AT20" i="1"/>
  <c r="AT65" i="1" s="1"/>
  <c r="AT125" i="1" s="1"/>
  <c r="AS20" i="1"/>
  <c r="AR20" i="1"/>
  <c r="AQ20" i="1"/>
  <c r="AQ65" i="1" s="1"/>
  <c r="AP20" i="1"/>
  <c r="AP65" i="1" s="1"/>
  <c r="AP125" i="1" s="1"/>
  <c r="AO20" i="1"/>
  <c r="AO65" i="1" s="1"/>
  <c r="AN20" i="1"/>
  <c r="AM20" i="1"/>
  <c r="AL20" i="1"/>
  <c r="AK20" i="1"/>
  <c r="AK65" i="1" s="1"/>
  <c r="AK125" i="1" s="1"/>
  <c r="AJ20" i="1"/>
  <c r="AI20" i="1"/>
  <c r="AH20" i="1"/>
  <c r="AH65" i="1" s="1"/>
  <c r="AH125" i="1" s="1"/>
  <c r="AG20" i="1"/>
  <c r="AG65" i="1" s="1"/>
  <c r="AF20" i="1"/>
  <c r="AE20" i="1"/>
  <c r="AD20" i="1"/>
  <c r="AD65" i="1" s="1"/>
  <c r="AD125" i="1" s="1"/>
  <c r="AC20" i="1"/>
  <c r="AC65" i="1" s="1"/>
  <c r="AC125" i="1" s="1"/>
  <c r="AB20" i="1"/>
  <c r="AA20" i="1"/>
  <c r="AA65" i="1" s="1"/>
  <c r="Z20" i="1"/>
  <c r="Z65" i="1" s="1"/>
  <c r="Z125" i="1" s="1"/>
  <c r="Y20" i="1"/>
  <c r="Y65" i="1" s="1"/>
  <c r="X20" i="1"/>
  <c r="W20" i="1"/>
  <c r="V20" i="1"/>
  <c r="U20" i="1"/>
  <c r="U65" i="1" s="1"/>
  <c r="U125" i="1" s="1"/>
  <c r="T20" i="1"/>
  <c r="S20" i="1"/>
  <c r="R20" i="1"/>
  <c r="R65" i="1" s="1"/>
  <c r="R125" i="1" s="1"/>
  <c r="Q20" i="1"/>
  <c r="Q65" i="1" s="1"/>
  <c r="P20" i="1"/>
  <c r="O20" i="1"/>
  <c r="BE19" i="1"/>
  <c r="CB19" i="1" s="1"/>
  <c r="BD19" i="1"/>
  <c r="BC19" i="1"/>
  <c r="BB19" i="1"/>
  <c r="BW19" i="1" s="1"/>
  <c r="BA19" i="1"/>
  <c r="AZ19" i="1"/>
  <c r="AY19" i="1"/>
  <c r="AX19" i="1"/>
  <c r="AX22" i="1" s="1"/>
  <c r="AW19" i="1"/>
  <c r="AV19" i="1"/>
  <c r="AU19" i="1"/>
  <c r="AT19" i="1"/>
  <c r="AS19" i="1"/>
  <c r="AR19" i="1"/>
  <c r="AR64" i="1" s="1"/>
  <c r="AR124" i="1" s="1"/>
  <c r="AQ19" i="1"/>
  <c r="AP19" i="1"/>
  <c r="AP64" i="1" s="1"/>
  <c r="AO19" i="1"/>
  <c r="AN19" i="1"/>
  <c r="AM19" i="1"/>
  <c r="AL19" i="1"/>
  <c r="AL64" i="1" s="1"/>
  <c r="AL124" i="1" s="1"/>
  <c r="AK19" i="1"/>
  <c r="AJ19" i="1"/>
  <c r="AJ64" i="1" s="1"/>
  <c r="AJ124" i="1" s="1"/>
  <c r="AI19" i="1"/>
  <c r="AH19" i="1"/>
  <c r="AH64" i="1" s="1"/>
  <c r="AH124" i="1" s="1"/>
  <c r="AG19" i="1"/>
  <c r="AF19" i="1"/>
  <c r="AE19" i="1"/>
  <c r="AD19" i="1"/>
  <c r="AD64" i="1" s="1"/>
  <c r="AD124" i="1" s="1"/>
  <c r="AC19" i="1"/>
  <c r="AB19" i="1"/>
  <c r="AB64" i="1" s="1"/>
  <c r="AB124" i="1" s="1"/>
  <c r="AA19" i="1"/>
  <c r="Z19" i="1"/>
  <c r="Z64" i="1" s="1"/>
  <c r="Y19" i="1"/>
  <c r="X19" i="1"/>
  <c r="W19" i="1"/>
  <c r="V19" i="1"/>
  <c r="V64" i="1" s="1"/>
  <c r="V124" i="1" s="1"/>
  <c r="U19" i="1"/>
  <c r="T19" i="1"/>
  <c r="T64" i="1" s="1"/>
  <c r="T124" i="1" s="1"/>
  <c r="S19" i="1"/>
  <c r="R19" i="1"/>
  <c r="R64" i="1" s="1"/>
  <c r="Q19" i="1"/>
  <c r="P19" i="1"/>
  <c r="O19" i="1"/>
  <c r="BE18" i="1"/>
  <c r="BE22" i="1" s="1"/>
  <c r="BD18" i="1"/>
  <c r="BC18" i="1"/>
  <c r="BC63" i="1" s="1"/>
  <c r="BC123" i="1" s="1"/>
  <c r="BB18" i="1"/>
  <c r="BA18" i="1"/>
  <c r="BA21" i="1" s="1"/>
  <c r="AZ18" i="1"/>
  <c r="AY18" i="1"/>
  <c r="AY63" i="1" s="1"/>
  <c r="AX18" i="1"/>
  <c r="AW18" i="1"/>
  <c r="AV18" i="1"/>
  <c r="AU18" i="1"/>
  <c r="AU22" i="1" s="1"/>
  <c r="AT18" i="1"/>
  <c r="AS18" i="1"/>
  <c r="AR18" i="1"/>
  <c r="AQ18" i="1"/>
  <c r="AQ63" i="1" s="1"/>
  <c r="AP18" i="1"/>
  <c r="AO18" i="1"/>
  <c r="AN18" i="1"/>
  <c r="AM18" i="1"/>
  <c r="AM22" i="1" s="1"/>
  <c r="AL18" i="1"/>
  <c r="AK18" i="1"/>
  <c r="AK22" i="1" s="1"/>
  <c r="AJ18" i="1"/>
  <c r="AI18" i="1"/>
  <c r="AI63" i="1" s="1"/>
  <c r="AH18" i="1"/>
  <c r="AH22" i="1" s="1"/>
  <c r="AG18" i="1"/>
  <c r="AG21" i="1" s="1"/>
  <c r="AF18" i="1"/>
  <c r="AE18" i="1"/>
  <c r="AE22" i="1" s="1"/>
  <c r="AD18" i="1"/>
  <c r="AC18" i="1"/>
  <c r="AC21" i="1" s="1"/>
  <c r="AB18" i="1"/>
  <c r="AA18" i="1"/>
  <c r="AA63" i="1" s="1"/>
  <c r="AA123" i="1" s="1"/>
  <c r="Z18" i="1"/>
  <c r="Y18" i="1"/>
  <c r="X18" i="1"/>
  <c r="W18" i="1"/>
  <c r="V18" i="1"/>
  <c r="U18" i="1"/>
  <c r="T18" i="1"/>
  <c r="T63" i="1" s="1"/>
  <c r="S18" i="1"/>
  <c r="S63" i="1" s="1"/>
  <c r="S123" i="1" s="1"/>
  <c r="R18" i="1"/>
  <c r="R22" i="1" s="1"/>
  <c r="Q18" i="1"/>
  <c r="Q22" i="1" s="1"/>
  <c r="P18" i="1"/>
  <c r="O18" i="1"/>
  <c r="O63" i="1" s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CB14" i="1"/>
  <c r="CA14" i="1"/>
  <c r="BY14" i="1"/>
  <c r="CC14" i="1" s="1"/>
  <c r="BX14" i="1"/>
  <c r="CF14" i="1" s="1"/>
  <c r="BW14" i="1"/>
  <c r="BV14" i="1"/>
  <c r="BU14" i="1"/>
  <c r="BT14" i="1"/>
  <c r="BS14" i="1"/>
  <c r="BR14" i="1"/>
  <c r="BP14" i="1"/>
  <c r="BO14" i="1"/>
  <c r="CJ14" i="1" s="1"/>
  <c r="BN14" i="1"/>
  <c r="BM14" i="1"/>
  <c r="BL14" i="1"/>
  <c r="CD13" i="1"/>
  <c r="CB13" i="1"/>
  <c r="CA13" i="1"/>
  <c r="BY13" i="1"/>
  <c r="CC13" i="1" s="1"/>
  <c r="BX13" i="1"/>
  <c r="CF13" i="1" s="1"/>
  <c r="BW13" i="1"/>
  <c r="BV13" i="1"/>
  <c r="BU13" i="1"/>
  <c r="BT13" i="1"/>
  <c r="BS13" i="1"/>
  <c r="BR13" i="1"/>
  <c r="BP13" i="1"/>
  <c r="BO13" i="1"/>
  <c r="BN13" i="1"/>
  <c r="BM13" i="1"/>
  <c r="CH13" i="1" s="1"/>
  <c r="BL13" i="1"/>
  <c r="CB12" i="1"/>
  <c r="CA12" i="1"/>
  <c r="BY12" i="1"/>
  <c r="CF12" i="1" s="1"/>
  <c r="BX12" i="1"/>
  <c r="BW12" i="1"/>
  <c r="BV12" i="1"/>
  <c r="BU12" i="1"/>
  <c r="BT12" i="1"/>
  <c r="BS12" i="1"/>
  <c r="CD12" i="1" s="1"/>
  <c r="BR12" i="1"/>
  <c r="BP12" i="1"/>
  <c r="CK12" i="1" s="1"/>
  <c r="BO12" i="1"/>
  <c r="BN12" i="1"/>
  <c r="BM12" i="1"/>
  <c r="BL12" i="1"/>
  <c r="CB11" i="1"/>
  <c r="CA11" i="1"/>
  <c r="BY11" i="1"/>
  <c r="CC11" i="1" s="1"/>
  <c r="BX11" i="1"/>
  <c r="BW11" i="1"/>
  <c r="BV11" i="1"/>
  <c r="BU11" i="1"/>
  <c r="BT11" i="1"/>
  <c r="BS11" i="1"/>
  <c r="BR11" i="1"/>
  <c r="BP11" i="1"/>
  <c r="BO11" i="1"/>
  <c r="BN11" i="1"/>
  <c r="BM11" i="1"/>
  <c r="BL11" i="1"/>
  <c r="CB10" i="1"/>
  <c r="CA10" i="1"/>
  <c r="BY10" i="1"/>
  <c r="CC10" i="1" s="1"/>
  <c r="BX10" i="1"/>
  <c r="BW10" i="1"/>
  <c r="BV10" i="1"/>
  <c r="BU10" i="1"/>
  <c r="BT10" i="1"/>
  <c r="BS10" i="1"/>
  <c r="BR10" i="1"/>
  <c r="BP10" i="1"/>
  <c r="BO10" i="1"/>
  <c r="CJ10" i="1" s="1"/>
  <c r="BN10" i="1"/>
  <c r="BM10" i="1"/>
  <c r="CH10" i="1" s="1"/>
  <c r="BL10" i="1"/>
  <c r="P4" i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B6" i="2"/>
  <c r="CH11" i="1" l="1"/>
  <c r="BX18" i="1"/>
  <c r="Q21" i="1"/>
  <c r="CH34" i="1"/>
  <c r="BM35" i="1"/>
  <c r="BP35" i="1"/>
  <c r="CA77" i="1"/>
  <c r="Q52" i="1"/>
  <c r="Q51" i="1"/>
  <c r="Y52" i="1"/>
  <c r="Y51" i="1"/>
  <c r="AG51" i="1"/>
  <c r="AG52" i="1"/>
  <c r="AO51" i="1"/>
  <c r="AO52" i="1"/>
  <c r="AW51" i="1"/>
  <c r="AW52" i="1"/>
  <c r="CJ11" i="1"/>
  <c r="CF11" i="1"/>
  <c r="CK14" i="1"/>
  <c r="C15" i="1"/>
  <c r="D15" i="1"/>
  <c r="E15" i="1"/>
  <c r="F15" i="1"/>
  <c r="G15" i="1"/>
  <c r="H15" i="1"/>
  <c r="BE21" i="1"/>
  <c r="AR37" i="1"/>
  <c r="Y37" i="1"/>
  <c r="BN49" i="1"/>
  <c r="BO50" i="1"/>
  <c r="O116" i="1"/>
  <c r="C116" i="1" s="1"/>
  <c r="C56" i="1"/>
  <c r="S116" i="1"/>
  <c r="D116" i="1" s="1"/>
  <c r="D56" i="1"/>
  <c r="W116" i="1"/>
  <c r="E56" i="1"/>
  <c r="AA116" i="1"/>
  <c r="F56" i="1"/>
  <c r="AE116" i="1"/>
  <c r="G56" i="1"/>
  <c r="BM56" i="1"/>
  <c r="J56" i="1"/>
  <c r="K56" i="1"/>
  <c r="BV56" i="1"/>
  <c r="BP56" i="1"/>
  <c r="M56" i="1"/>
  <c r="H87" i="1"/>
  <c r="AL90" i="1"/>
  <c r="Y63" i="1"/>
  <c r="Y123" i="1" s="1"/>
  <c r="Y21" i="1"/>
  <c r="Y22" i="1"/>
  <c r="BL18" i="1"/>
  <c r="AO63" i="1"/>
  <c r="AO123" i="1" s="1"/>
  <c r="AO22" i="1"/>
  <c r="AO21" i="1"/>
  <c r="AW21" i="1"/>
  <c r="AW22" i="1"/>
  <c r="CA20" i="1"/>
  <c r="CB20" i="1"/>
  <c r="AG22" i="1"/>
  <c r="Q36" i="1"/>
  <c r="Q37" i="1"/>
  <c r="CB33" i="1"/>
  <c r="BR34" i="1"/>
  <c r="BA37" i="1"/>
  <c r="BM49" i="1"/>
  <c r="BV49" i="1"/>
  <c r="BN50" i="1"/>
  <c r="BX50" i="1"/>
  <c r="BU95" i="1"/>
  <c r="AQ97" i="1"/>
  <c r="I15" i="1"/>
  <c r="J15" i="1"/>
  <c r="K15" i="1"/>
  <c r="L15" i="1"/>
  <c r="BX15" i="1"/>
  <c r="M15" i="1"/>
  <c r="BY18" i="1"/>
  <c r="BT18" i="1"/>
  <c r="U64" i="1"/>
  <c r="U124" i="1" s="1"/>
  <c r="AC64" i="1"/>
  <c r="AC124" i="1" s="1"/>
  <c r="AK64" i="1"/>
  <c r="AK124" i="1" s="1"/>
  <c r="AS64" i="1"/>
  <c r="AS124" i="1" s="1"/>
  <c r="BA64" i="1"/>
  <c r="BA124" i="1" s="1"/>
  <c r="T65" i="1"/>
  <c r="T125" i="1" s="1"/>
  <c r="AB65" i="1"/>
  <c r="AB125" i="1" s="1"/>
  <c r="AJ65" i="1"/>
  <c r="AJ125" i="1" s="1"/>
  <c r="AR65" i="1"/>
  <c r="AR125" i="1" s="1"/>
  <c r="AY21" i="1"/>
  <c r="CI28" i="1"/>
  <c r="C30" i="1"/>
  <c r="D30" i="1"/>
  <c r="E30" i="1"/>
  <c r="F30" i="1"/>
  <c r="G30" i="1"/>
  <c r="H30" i="1"/>
  <c r="I30" i="1"/>
  <c r="BM30" i="1"/>
  <c r="J30" i="1"/>
  <c r="K30" i="1"/>
  <c r="L30" i="1"/>
  <c r="M30" i="1"/>
  <c r="AN36" i="1"/>
  <c r="AV36" i="1"/>
  <c r="AZ37" i="1"/>
  <c r="BX33" i="1"/>
  <c r="S36" i="1"/>
  <c r="AA36" i="1"/>
  <c r="AI36" i="1"/>
  <c r="BR35" i="1"/>
  <c r="CJ40" i="1"/>
  <c r="CF41" i="1"/>
  <c r="C45" i="1"/>
  <c r="D45" i="1"/>
  <c r="E45" i="1"/>
  <c r="F45" i="1"/>
  <c r="G45" i="1"/>
  <c r="H45" i="1"/>
  <c r="I45" i="1"/>
  <c r="J45" i="1"/>
  <c r="K45" i="1"/>
  <c r="L45" i="1"/>
  <c r="M45" i="1"/>
  <c r="BT48" i="1"/>
  <c r="BO48" i="1"/>
  <c r="CJ48" i="1" s="1"/>
  <c r="BX49" i="1"/>
  <c r="BP49" i="1"/>
  <c r="BR50" i="1"/>
  <c r="AH52" i="1"/>
  <c r="O117" i="1"/>
  <c r="C117" i="1" s="1"/>
  <c r="C57" i="1"/>
  <c r="S117" i="1"/>
  <c r="D57" i="1"/>
  <c r="W117" i="1"/>
  <c r="E117" i="1" s="1"/>
  <c r="E57" i="1"/>
  <c r="AE117" i="1"/>
  <c r="G117" i="1" s="1"/>
  <c r="G57" i="1"/>
  <c r="AI117" i="1"/>
  <c r="H57" i="1"/>
  <c r="AQ117" i="1"/>
  <c r="J117" i="1" s="1"/>
  <c r="J57" i="1"/>
  <c r="AY117" i="1"/>
  <c r="L117" i="1" s="1"/>
  <c r="L57" i="1"/>
  <c r="BM78" i="1"/>
  <c r="CH78" i="1" s="1"/>
  <c r="AT108" i="1"/>
  <c r="AL82" i="1"/>
  <c r="AS97" i="1"/>
  <c r="AS90" i="1"/>
  <c r="BN93" i="1"/>
  <c r="CD94" i="1"/>
  <c r="BR95" i="1"/>
  <c r="BT107" i="1"/>
  <c r="CA15" i="1"/>
  <c r="V21" i="1"/>
  <c r="BN18" i="1"/>
  <c r="S64" i="1"/>
  <c r="AA64" i="1"/>
  <c r="AY64" i="1"/>
  <c r="AY124" i="1" s="1"/>
  <c r="BC64" i="1"/>
  <c r="BU20" i="1"/>
  <c r="S21" i="1"/>
  <c r="CJ28" i="1"/>
  <c r="CD29" i="1"/>
  <c r="BT30" i="1"/>
  <c r="BV30" i="1"/>
  <c r="BP30" i="1"/>
  <c r="R37" i="1"/>
  <c r="Z37" i="1"/>
  <c r="AP37" i="1"/>
  <c r="BO33" i="1"/>
  <c r="CJ33" i="1" s="1"/>
  <c r="T36" i="1"/>
  <c r="AH36" i="1"/>
  <c r="CK40" i="1"/>
  <c r="CI42" i="1"/>
  <c r="CD42" i="1"/>
  <c r="BY48" i="1"/>
  <c r="AD51" i="1"/>
  <c r="AT64" i="1"/>
  <c r="AT124" i="1" s="1"/>
  <c r="R51" i="1"/>
  <c r="AP52" i="1"/>
  <c r="BS50" i="1"/>
  <c r="C55" i="1"/>
  <c r="S115" i="1"/>
  <c r="D55" i="1"/>
  <c r="AN82" i="1"/>
  <c r="AN75" i="1"/>
  <c r="BL75" i="1" s="1"/>
  <c r="AV97" i="1"/>
  <c r="BD96" i="1"/>
  <c r="BV104" i="1"/>
  <c r="K104" i="1"/>
  <c r="BS15" i="1"/>
  <c r="W22" i="1"/>
  <c r="W63" i="1"/>
  <c r="BP18" i="1"/>
  <c r="X21" i="1"/>
  <c r="AN22" i="1"/>
  <c r="AV21" i="1"/>
  <c r="BO19" i="1"/>
  <c r="BD22" i="1"/>
  <c r="W21" i="1"/>
  <c r="W65" i="1"/>
  <c r="W125" i="1" s="1"/>
  <c r="AU21" i="1"/>
  <c r="AU65" i="1"/>
  <c r="AU125" i="1" s="1"/>
  <c r="CH25" i="1"/>
  <c r="CK25" i="1"/>
  <c r="CF25" i="1"/>
  <c r="CK27" i="1"/>
  <c r="CJ29" i="1"/>
  <c r="CF29" i="1"/>
  <c r="BR30" i="1"/>
  <c r="S37" i="1"/>
  <c r="V36" i="1"/>
  <c r="AD37" i="1"/>
  <c r="AL36" i="1"/>
  <c r="AT36" i="1"/>
  <c r="BB36" i="1"/>
  <c r="R36" i="1"/>
  <c r="AN37" i="1"/>
  <c r="CI41" i="1"/>
  <c r="CF42" i="1"/>
  <c r="BR45" i="1"/>
  <c r="S51" i="1"/>
  <c r="AA51" i="1"/>
  <c r="AY52" i="1"/>
  <c r="BM50" i="1"/>
  <c r="BV50" i="1"/>
  <c r="BP50" i="1"/>
  <c r="CK50" i="1" s="1"/>
  <c r="AX51" i="1"/>
  <c r="X60" i="1"/>
  <c r="AJ60" i="1"/>
  <c r="AG82" i="1"/>
  <c r="BL100" i="1"/>
  <c r="I100" i="1"/>
  <c r="AG60" i="1"/>
  <c r="AO60" i="1"/>
  <c r="AL117" i="1"/>
  <c r="O118" i="1"/>
  <c r="C118" i="1" s="1"/>
  <c r="C58" i="1"/>
  <c r="S118" i="1"/>
  <c r="D118" i="1" s="1"/>
  <c r="D58" i="1"/>
  <c r="W118" i="1"/>
  <c r="E118" i="1" s="1"/>
  <c r="E58" i="1"/>
  <c r="AA118" i="1"/>
  <c r="F118" i="1" s="1"/>
  <c r="F58" i="1"/>
  <c r="AE118" i="1"/>
  <c r="G118" i="1" s="1"/>
  <c r="G58" i="1"/>
  <c r="AI118" i="1"/>
  <c r="H118" i="1" s="1"/>
  <c r="H58" i="1"/>
  <c r="I58" i="1"/>
  <c r="AQ118" i="1"/>
  <c r="J58" i="1"/>
  <c r="K58" i="1"/>
  <c r="AY118" i="1"/>
  <c r="L58" i="1"/>
  <c r="BC118" i="1"/>
  <c r="M118" i="1" s="1"/>
  <c r="M58" i="1"/>
  <c r="AC119" i="1"/>
  <c r="AK119" i="1"/>
  <c r="AS119" i="1"/>
  <c r="F70" i="1"/>
  <c r="E171" i="1" s="1"/>
  <c r="AE100" i="1"/>
  <c r="G70" i="1"/>
  <c r="F171" i="1" s="1"/>
  <c r="F176" i="1" s="1"/>
  <c r="L70" i="1"/>
  <c r="K171" i="1" s="1"/>
  <c r="K176" i="1" s="1"/>
  <c r="CA100" i="1"/>
  <c r="CA70" i="1"/>
  <c r="AA101" i="1"/>
  <c r="F71" i="1"/>
  <c r="E172" i="1" s="1"/>
  <c r="E176" i="1" s="1"/>
  <c r="G71" i="1"/>
  <c r="F172" i="1" s="1"/>
  <c r="CH73" i="1"/>
  <c r="F74" i="1"/>
  <c r="E175" i="1" s="1"/>
  <c r="H74" i="1"/>
  <c r="G175" i="1" s="1"/>
  <c r="G176" i="1" s="1"/>
  <c r="I74" i="1"/>
  <c r="H175" i="1" s="1"/>
  <c r="H176" i="1" s="1"/>
  <c r="J74" i="1"/>
  <c r="I175" i="1" s="1"/>
  <c r="I176" i="1" s="1"/>
  <c r="AI75" i="1"/>
  <c r="BD75" i="1"/>
  <c r="CA75" i="1" s="1"/>
  <c r="BP77" i="1"/>
  <c r="U81" i="1"/>
  <c r="AR81" i="1"/>
  <c r="Y90" i="1"/>
  <c r="E90" i="1" s="1"/>
  <c r="E85" i="1"/>
  <c r="AG90" i="1"/>
  <c r="CI87" i="1"/>
  <c r="CD87" i="1"/>
  <c r="CB88" i="1"/>
  <c r="M88" i="1"/>
  <c r="CC88" i="1"/>
  <c r="CJ89" i="1"/>
  <c r="AN90" i="1"/>
  <c r="AE96" i="1"/>
  <c r="P96" i="1"/>
  <c r="AB96" i="1"/>
  <c r="BW93" i="1"/>
  <c r="BC108" i="1"/>
  <c r="P97" i="1"/>
  <c r="C101" i="1"/>
  <c r="D101" i="1"/>
  <c r="Y102" i="1"/>
  <c r="BO102" i="1"/>
  <c r="L102" i="1"/>
  <c r="M102" i="1"/>
  <c r="P105" i="1"/>
  <c r="G104" i="1"/>
  <c r="M104" i="1"/>
  <c r="P108" i="1"/>
  <c r="E55" i="1"/>
  <c r="F55" i="1"/>
  <c r="G55" i="1"/>
  <c r="AI115" i="1"/>
  <c r="H55" i="1"/>
  <c r="I55" i="1"/>
  <c r="AQ115" i="1"/>
  <c r="J55" i="1"/>
  <c r="K55" i="1"/>
  <c r="AY115" i="1"/>
  <c r="L115" i="1" s="1"/>
  <c r="L55" i="1"/>
  <c r="M55" i="1"/>
  <c r="AB116" i="1"/>
  <c r="AF116" i="1"/>
  <c r="AE119" i="1"/>
  <c r="G119" i="1" s="1"/>
  <c r="G59" i="1"/>
  <c r="H59" i="1"/>
  <c r="BT59" i="1"/>
  <c r="I59" i="1"/>
  <c r="AQ119" i="1"/>
  <c r="J59" i="1"/>
  <c r="AU119" i="1"/>
  <c r="K59" i="1"/>
  <c r="L59" i="1"/>
  <c r="BC119" i="1"/>
  <c r="M59" i="1"/>
  <c r="AV122" i="1"/>
  <c r="BO62" i="1"/>
  <c r="BD122" i="1"/>
  <c r="E70" i="1"/>
  <c r="D171" i="1" s="1"/>
  <c r="D176" i="1" s="1"/>
  <c r="BP70" i="1"/>
  <c r="M70" i="1"/>
  <c r="L171" i="1" s="1"/>
  <c r="L176" i="1" s="1"/>
  <c r="E71" i="1"/>
  <c r="D172" i="1" s="1"/>
  <c r="AC101" i="1"/>
  <c r="AG101" i="1"/>
  <c r="AK82" i="1"/>
  <c r="BR72" i="1"/>
  <c r="CD72" i="1" s="1"/>
  <c r="BV72" i="1"/>
  <c r="Y104" i="1"/>
  <c r="E74" i="1"/>
  <c r="D175" i="1" s="1"/>
  <c r="AC104" i="1"/>
  <c r="AK104" i="1"/>
  <c r="AM75" i="1"/>
  <c r="CB77" i="1"/>
  <c r="BM79" i="1"/>
  <c r="BS79" i="1"/>
  <c r="CB79" i="1"/>
  <c r="BR80" i="1"/>
  <c r="AE81" i="1"/>
  <c r="U82" i="1"/>
  <c r="AM82" i="1"/>
  <c r="F85" i="1"/>
  <c r="G85" i="1"/>
  <c r="Z90" i="1"/>
  <c r="E86" i="1"/>
  <c r="AH101" i="1"/>
  <c r="CK86" i="1"/>
  <c r="CF86" i="1"/>
  <c r="BS88" i="1"/>
  <c r="CD89" i="1"/>
  <c r="C90" i="1"/>
  <c r="D90" i="1"/>
  <c r="AR90" i="1"/>
  <c r="AY96" i="1"/>
  <c r="AD96" i="1"/>
  <c r="O97" i="1"/>
  <c r="BN94" i="1"/>
  <c r="BV94" i="1"/>
  <c r="X96" i="1"/>
  <c r="AV96" i="1"/>
  <c r="X97" i="1"/>
  <c r="C100" i="1"/>
  <c r="D100" i="1"/>
  <c r="Y101" i="1"/>
  <c r="C102" i="1"/>
  <c r="D102" i="1"/>
  <c r="E102" i="1"/>
  <c r="C104" i="1"/>
  <c r="D104" i="1"/>
  <c r="CB104" i="1"/>
  <c r="AL111" i="1"/>
  <c r="C119" i="1"/>
  <c r="D119" i="1"/>
  <c r="E119" i="1"/>
  <c r="AB119" i="1"/>
  <c r="F59" i="1"/>
  <c r="AJ119" i="1"/>
  <c r="AN119" i="1"/>
  <c r="AN120" i="1" s="1"/>
  <c r="AR119" i="1"/>
  <c r="BX70" i="1"/>
  <c r="AZ104" i="1"/>
  <c r="BW104" i="1" s="1"/>
  <c r="L74" i="1"/>
  <c r="K175" i="1" s="1"/>
  <c r="BR74" i="1"/>
  <c r="CD74" i="1" s="1"/>
  <c r="BC75" i="1"/>
  <c r="AX107" i="1"/>
  <c r="O110" i="1"/>
  <c r="S110" i="1"/>
  <c r="W110" i="1"/>
  <c r="AA110" i="1"/>
  <c r="AE110" i="1"/>
  <c r="AM110" i="1"/>
  <c r="BL110" i="1" s="1"/>
  <c r="AU110" i="1"/>
  <c r="BC110" i="1"/>
  <c r="AK81" i="1"/>
  <c r="AZ82" i="1"/>
  <c r="AF97" i="1"/>
  <c r="F86" i="1"/>
  <c r="AE97" i="1"/>
  <c r="G86" i="1"/>
  <c r="F89" i="1"/>
  <c r="AI90" i="1"/>
  <c r="H90" i="1" s="1"/>
  <c r="H89" i="1"/>
  <c r="I89" i="1"/>
  <c r="J89" i="1"/>
  <c r="BE90" i="1"/>
  <c r="M90" i="1" s="1"/>
  <c r="AH96" i="1"/>
  <c r="S96" i="1"/>
  <c r="AA96" i="1"/>
  <c r="AG110" i="1"/>
  <c r="AI97" i="1"/>
  <c r="BC100" i="1"/>
  <c r="M100" i="1" s="1"/>
  <c r="BY101" i="1"/>
  <c r="CC101" i="1" s="1"/>
  <c r="H101" i="1"/>
  <c r="I101" i="1"/>
  <c r="BM101" i="1"/>
  <c r="CH101" i="1" s="1"/>
  <c r="J101" i="1"/>
  <c r="K101" i="1"/>
  <c r="BW101" i="1"/>
  <c r="L101" i="1"/>
  <c r="M101" i="1"/>
  <c r="G102" i="1"/>
  <c r="C103" i="1"/>
  <c r="D103" i="1"/>
  <c r="E103" i="1"/>
  <c r="F103" i="1"/>
  <c r="G103" i="1"/>
  <c r="H103" i="1"/>
  <c r="I103" i="1"/>
  <c r="J103" i="1"/>
  <c r="K103" i="1"/>
  <c r="L103" i="1"/>
  <c r="BS104" i="1"/>
  <c r="CD11" i="1"/>
  <c r="CI13" i="1"/>
  <c r="CH27" i="1"/>
  <c r="BM45" i="1"/>
  <c r="BU45" i="1"/>
  <c r="O60" i="1"/>
  <c r="AM60" i="1"/>
  <c r="CB57" i="1"/>
  <c r="BS75" i="1"/>
  <c r="CK10" i="1"/>
  <c r="BY15" i="1"/>
  <c r="CF15" i="1" s="1"/>
  <c r="BU15" i="1"/>
  <c r="CB15" i="1"/>
  <c r="CH42" i="1"/>
  <c r="CJ50" i="1"/>
  <c r="CB56" i="1"/>
  <c r="CI71" i="1"/>
  <c r="CH72" i="1"/>
  <c r="CI73" i="1"/>
  <c r="CK85" i="1"/>
  <c r="CH88" i="1"/>
  <c r="BL101" i="1"/>
  <c r="BU101" i="1"/>
  <c r="CH14" i="1"/>
  <c r="CJ72" i="1"/>
  <c r="BN58" i="1"/>
  <c r="CK74" i="1"/>
  <c r="CJ92" i="1"/>
  <c r="BU102" i="1"/>
  <c r="CI11" i="1"/>
  <c r="CC12" i="1"/>
  <c r="CD41" i="1"/>
  <c r="BU55" i="1"/>
  <c r="BO57" i="1"/>
  <c r="BO58" i="1"/>
  <c r="CJ58" i="1" s="1"/>
  <c r="AY60" i="1"/>
  <c r="CD88" i="1"/>
  <c r="U105" i="1"/>
  <c r="CJ26" i="1"/>
  <c r="CJ43" i="1"/>
  <c r="CK73" i="1"/>
  <c r="CJ74" i="1"/>
  <c r="BO90" i="1"/>
  <c r="CJ13" i="1"/>
  <c r="CI27" i="1"/>
  <c r="BY30" i="1"/>
  <c r="BL15" i="1"/>
  <c r="BP15" i="1"/>
  <c r="BL45" i="1"/>
  <c r="BV45" i="1"/>
  <c r="CB45" i="1"/>
  <c r="BU57" i="1"/>
  <c r="BT58" i="1"/>
  <c r="BS59" i="1"/>
  <c r="CI85" i="1"/>
  <c r="BN101" i="1"/>
  <c r="BM103" i="1"/>
  <c r="AR115" i="1"/>
  <c r="AF60" i="1"/>
  <c r="CJ42" i="1"/>
  <c r="CB55" i="1"/>
  <c r="CC58" i="1"/>
  <c r="BW102" i="1"/>
  <c r="AN60" i="1"/>
  <c r="CH12" i="1"/>
  <c r="BU30" i="1"/>
  <c r="CA57" i="1"/>
  <c r="BY58" i="1"/>
  <c r="BR103" i="1"/>
  <c r="AA125" i="1"/>
  <c r="AA67" i="1"/>
  <c r="BC125" i="1"/>
  <c r="CD50" i="1"/>
  <c r="T123" i="1"/>
  <c r="T126" i="1" s="1"/>
  <c r="U63" i="1"/>
  <c r="U67" i="1" s="1"/>
  <c r="U21" i="1"/>
  <c r="R115" i="1"/>
  <c r="AP115" i="1"/>
  <c r="AP60" i="1"/>
  <c r="BC124" i="1"/>
  <c r="CK13" i="1"/>
  <c r="BB63" i="1"/>
  <c r="BB22" i="1"/>
  <c r="BS18" i="1"/>
  <c r="AF64" i="1"/>
  <c r="AF124" i="1" s="1"/>
  <c r="AF21" i="1"/>
  <c r="BL20" i="1"/>
  <c r="BB21" i="1"/>
  <c r="CJ25" i="1"/>
  <c r="BL30" i="1"/>
  <c r="CH30" i="1" s="1"/>
  <c r="BP34" i="1"/>
  <c r="BX34" i="1"/>
  <c r="CK42" i="1"/>
  <c r="BN55" i="1"/>
  <c r="BC117" i="1"/>
  <c r="M117" i="1" s="1"/>
  <c r="BX57" i="1"/>
  <c r="AN63" i="1"/>
  <c r="AE64" i="1"/>
  <c r="S66" i="1"/>
  <c r="CI88" i="1"/>
  <c r="CJ88" i="1"/>
  <c r="CF18" i="1"/>
  <c r="AQ125" i="1"/>
  <c r="BM20" i="1"/>
  <c r="BO30" i="1"/>
  <c r="BW30" i="1"/>
  <c r="AK37" i="1"/>
  <c r="BY33" i="1"/>
  <c r="CF33" i="1" s="1"/>
  <c r="BT33" i="1"/>
  <c r="AC36" i="1"/>
  <c r="BS45" i="1"/>
  <c r="CD45" i="1" s="1"/>
  <c r="T115" i="1"/>
  <c r="T67" i="1"/>
  <c r="T60" i="1"/>
  <c r="AB115" i="1"/>
  <c r="AB60" i="1"/>
  <c r="AJ115" i="1"/>
  <c r="AZ67" i="1"/>
  <c r="AZ60" i="1"/>
  <c r="AZ115" i="1"/>
  <c r="BW55" i="1"/>
  <c r="AW122" i="1"/>
  <c r="BN62" i="1"/>
  <c r="BB65" i="1"/>
  <c r="BA100" i="1"/>
  <c r="CB100" i="1" s="1"/>
  <c r="BA82" i="1"/>
  <c r="CB70" i="1"/>
  <c r="BA75" i="1"/>
  <c r="CB75" i="1" s="1"/>
  <c r="BR70" i="1"/>
  <c r="BY70" i="1"/>
  <c r="CF70" i="1" s="1"/>
  <c r="CD10" i="1"/>
  <c r="CI12" i="1"/>
  <c r="AP21" i="1"/>
  <c r="CA22" i="1"/>
  <c r="AT37" i="1"/>
  <c r="BB37" i="1"/>
  <c r="BU33" i="1"/>
  <c r="AD36" i="1"/>
  <c r="AV37" i="1"/>
  <c r="BT45" i="1"/>
  <c r="BP45" i="1"/>
  <c r="BX45" i="1"/>
  <c r="BN48" i="1"/>
  <c r="AV52" i="1"/>
  <c r="AI116" i="1"/>
  <c r="H116" i="1" s="1"/>
  <c r="BY56" i="1"/>
  <c r="CC56" i="1" s="1"/>
  <c r="AQ116" i="1"/>
  <c r="BU56" i="1"/>
  <c r="AY116" i="1"/>
  <c r="L116" i="1" s="1"/>
  <c r="BO56" i="1"/>
  <c r="CK56" i="1" s="1"/>
  <c r="BW56" i="1"/>
  <c r="BB118" i="1"/>
  <c r="BS58" i="1"/>
  <c r="BW58" i="1"/>
  <c r="CA58" i="1"/>
  <c r="AV63" i="1"/>
  <c r="AM64" i="1"/>
  <c r="CJ71" i="1"/>
  <c r="AC108" i="1"/>
  <c r="AC81" i="1"/>
  <c r="AV108" i="1"/>
  <c r="BN78" i="1"/>
  <c r="CI78" i="1" s="1"/>
  <c r="BV78" i="1"/>
  <c r="AV81" i="1"/>
  <c r="BN81" i="1" s="1"/>
  <c r="BD108" i="1"/>
  <c r="BP78" i="1"/>
  <c r="CK78" i="1" s="1"/>
  <c r="BX78" i="1"/>
  <c r="BD81" i="1"/>
  <c r="BS78" i="1"/>
  <c r="BD82" i="1"/>
  <c r="AS63" i="1"/>
  <c r="AS21" i="1"/>
  <c r="CB30" i="1"/>
  <c r="CA30" i="1"/>
  <c r="Z115" i="1"/>
  <c r="BL55" i="1"/>
  <c r="AM123" i="1"/>
  <c r="S109" i="1"/>
  <c r="S81" i="1"/>
  <c r="AY109" i="1"/>
  <c r="BO79" i="1"/>
  <c r="BW79" i="1"/>
  <c r="BR15" i="1"/>
  <c r="CD15" i="1" s="1"/>
  <c r="AD22" i="1"/>
  <c r="AD63" i="1"/>
  <c r="AD67" i="1" s="1"/>
  <c r="AT63" i="1"/>
  <c r="AT123" i="1" s="1"/>
  <c r="AT22" i="1"/>
  <c r="P64" i="1"/>
  <c r="P124" i="1" s="1"/>
  <c r="P21" i="1"/>
  <c r="AN21" i="1"/>
  <c r="BL19" i="1"/>
  <c r="AN64" i="1"/>
  <c r="AN124" i="1" s="1"/>
  <c r="BT19" i="1"/>
  <c r="BD51" i="1"/>
  <c r="BD52" i="1"/>
  <c r="P52" i="1"/>
  <c r="AM117" i="1"/>
  <c r="I117" i="1" s="1"/>
  <c r="BT57" i="1"/>
  <c r="BY57" i="1"/>
  <c r="CC57" i="1" s="1"/>
  <c r="CA19" i="1"/>
  <c r="AI65" i="1"/>
  <c r="BY20" i="1"/>
  <c r="CC20" i="1" s="1"/>
  <c r="AY65" i="1"/>
  <c r="AY66" i="1" s="1"/>
  <c r="BO20" i="1"/>
  <c r="CB21" i="1"/>
  <c r="X22" i="1"/>
  <c r="AQ36" i="1"/>
  <c r="BU35" i="1"/>
  <c r="BO35" i="1"/>
  <c r="AY36" i="1"/>
  <c r="BW35" i="1"/>
  <c r="AS36" i="1"/>
  <c r="AU37" i="1"/>
  <c r="CH40" i="1"/>
  <c r="CA52" i="1"/>
  <c r="CB52" i="1"/>
  <c r="BR55" i="1"/>
  <c r="BE122" i="1"/>
  <c r="CA62" i="1"/>
  <c r="BP62" i="1"/>
  <c r="CB62" i="1"/>
  <c r="AA82" i="1"/>
  <c r="AA100" i="1"/>
  <c r="BO70" i="1"/>
  <c r="CJ70" i="1" s="1"/>
  <c r="AJ82" i="1"/>
  <c r="AJ102" i="1"/>
  <c r="AJ75" i="1"/>
  <c r="BY72" i="1"/>
  <c r="AT105" i="1"/>
  <c r="BM100" i="1"/>
  <c r="CK11" i="1"/>
  <c r="CI14" i="1"/>
  <c r="BT15" i="1"/>
  <c r="BN15" i="1"/>
  <c r="BV15" i="1"/>
  <c r="P63" i="1"/>
  <c r="BR19" i="1"/>
  <c r="BM19" i="1"/>
  <c r="BN20" i="1"/>
  <c r="Z21" i="1"/>
  <c r="CF10" i="1"/>
  <c r="CJ12" i="1"/>
  <c r="Q63" i="1"/>
  <c r="AG63" i="1"/>
  <c r="BV18" i="1"/>
  <c r="AW63" i="1"/>
  <c r="AW123" i="1" s="1"/>
  <c r="CB18" i="1"/>
  <c r="CA18" i="1"/>
  <c r="BE63" i="1"/>
  <c r="CC18" i="1"/>
  <c r="AA124" i="1"/>
  <c r="AI64" i="1"/>
  <c r="BY19" i="1"/>
  <c r="CC19" i="1" s="1"/>
  <c r="AQ64" i="1"/>
  <c r="AQ66" i="1" s="1"/>
  <c r="BU19" i="1"/>
  <c r="BN19" i="1"/>
  <c r="CJ19" i="1" s="1"/>
  <c r="AS65" i="1"/>
  <c r="AS125" i="1" s="1"/>
  <c r="BR20" i="1"/>
  <c r="AA21" i="1"/>
  <c r="AQ21" i="1"/>
  <c r="Z22" i="1"/>
  <c r="AP22" i="1"/>
  <c r="BT22" i="1" s="1"/>
  <c r="CD27" i="1"/>
  <c r="CK28" i="1"/>
  <c r="CI29" i="1"/>
  <c r="O37" i="1"/>
  <c r="W37" i="1"/>
  <c r="BN33" i="1"/>
  <c r="BC37" i="1"/>
  <c r="BN34" i="1"/>
  <c r="CI34" i="1" s="1"/>
  <c r="BS35" i="1"/>
  <c r="CD35" i="1" s="1"/>
  <c r="O36" i="1"/>
  <c r="AE36" i="1"/>
  <c r="AU36" i="1"/>
  <c r="AW37" i="1"/>
  <c r="CH41" i="1"/>
  <c r="BM48" i="1"/>
  <c r="CI50" i="1"/>
  <c r="AJ51" i="1"/>
  <c r="X52" i="1"/>
  <c r="BR56" i="1"/>
  <c r="AX117" i="1"/>
  <c r="BR57" i="1"/>
  <c r="BL57" i="1"/>
  <c r="AX119" i="1"/>
  <c r="BR59" i="1"/>
  <c r="BL59" i="1"/>
  <c r="R60" i="1"/>
  <c r="AR60" i="1"/>
  <c r="W123" i="1"/>
  <c r="AG125" i="1"/>
  <c r="AO104" i="1"/>
  <c r="AO105" i="1" s="1"/>
  <c r="AO82" i="1"/>
  <c r="AO75" i="1"/>
  <c r="BT74" i="1"/>
  <c r="BY74" i="1"/>
  <c r="CC74" i="1" s="1"/>
  <c r="AH122" i="1"/>
  <c r="AH107" i="1"/>
  <c r="AH111" i="1" s="1"/>
  <c r="AH81" i="1"/>
  <c r="AZ107" i="1"/>
  <c r="AZ112" i="1" s="1"/>
  <c r="AZ81" i="1"/>
  <c r="BW77" i="1"/>
  <c r="BR77" i="1"/>
  <c r="BO77" i="1"/>
  <c r="CK77" i="1" s="1"/>
  <c r="AK63" i="1"/>
  <c r="AK67" i="1" s="1"/>
  <c r="AK21" i="1"/>
  <c r="CC30" i="1"/>
  <c r="AI109" i="1"/>
  <c r="AI81" i="1"/>
  <c r="BY79" i="1"/>
  <c r="CC79" i="1" s="1"/>
  <c r="BT103" i="1"/>
  <c r="BL103" i="1"/>
  <c r="CH103" i="1" s="1"/>
  <c r="AL63" i="1"/>
  <c r="AL22" i="1"/>
  <c r="BW18" i="1"/>
  <c r="BD21" i="1"/>
  <c r="CA21" i="1" s="1"/>
  <c r="BD64" i="1"/>
  <c r="BD124" i="1" s="1"/>
  <c r="BP19" i="1"/>
  <c r="CK19" i="1" s="1"/>
  <c r="BX19" i="1"/>
  <c r="AX125" i="1"/>
  <c r="U22" i="1"/>
  <c r="CH44" i="1"/>
  <c r="AF51" i="1"/>
  <c r="AF52" i="1"/>
  <c r="CA48" i="1"/>
  <c r="CC15" i="1"/>
  <c r="AD21" i="1"/>
  <c r="AC22" i="1"/>
  <c r="X37" i="1"/>
  <c r="X36" i="1"/>
  <c r="BP33" i="1"/>
  <c r="BD36" i="1"/>
  <c r="AZ52" i="1"/>
  <c r="BW48" i="1"/>
  <c r="AZ51" i="1"/>
  <c r="BL49" i="1"/>
  <c r="CH49" i="1" s="1"/>
  <c r="BT49" i="1"/>
  <c r="O115" i="1"/>
  <c r="C115" i="1" s="1"/>
  <c r="AE115" i="1"/>
  <c r="AE60" i="1"/>
  <c r="AU115" i="1"/>
  <c r="K115" i="1" s="1"/>
  <c r="AU60" i="1"/>
  <c r="BV55" i="1"/>
  <c r="AZ122" i="1"/>
  <c r="AZ66" i="1"/>
  <c r="BW62" i="1"/>
  <c r="BA63" i="1"/>
  <c r="AU64" i="1"/>
  <c r="AL65" i="1"/>
  <c r="AL125" i="1" s="1"/>
  <c r="CB95" i="1"/>
  <c r="CA95" i="1"/>
  <c r="AI123" i="1"/>
  <c r="AY123" i="1"/>
  <c r="BO18" i="1"/>
  <c r="CJ18" i="1" s="1"/>
  <c r="BS19" i="1"/>
  <c r="O65" i="1"/>
  <c r="O21" i="1"/>
  <c r="AE65" i="1"/>
  <c r="AE125" i="1" s="1"/>
  <c r="AE21" i="1"/>
  <c r="BT20" i="1"/>
  <c r="AM21" i="1"/>
  <c r="BC21" i="1"/>
  <c r="BS20" i="1"/>
  <c r="BP20" i="1"/>
  <c r="BX20" i="1"/>
  <c r="CF20" i="1" s="1"/>
  <c r="BV20" i="1"/>
  <c r="P22" i="1"/>
  <c r="AF22" i="1"/>
  <c r="AV22" i="1"/>
  <c r="CK26" i="1"/>
  <c r="BN30" i="1"/>
  <c r="CI30" i="1" s="1"/>
  <c r="BX30" i="1"/>
  <c r="CF30" i="1" s="1"/>
  <c r="AG37" i="1"/>
  <c r="AG36" i="1"/>
  <c r="AO36" i="1"/>
  <c r="BT36" i="1" s="1"/>
  <c r="AO37" i="1"/>
  <c r="CA33" i="1"/>
  <c r="BE36" i="1"/>
  <c r="BS36" i="1" s="1"/>
  <c r="AB37" i="1"/>
  <c r="AB36" i="1"/>
  <c r="AJ36" i="1"/>
  <c r="BY34" i="1"/>
  <c r="CC34" i="1" s="1"/>
  <c r="AJ37" i="1"/>
  <c r="AR36" i="1"/>
  <c r="BU34" i="1"/>
  <c r="AZ36" i="1"/>
  <c r="BR36" i="1" s="1"/>
  <c r="BO34" i="1"/>
  <c r="BS34" i="1"/>
  <c r="CD34" i="1" s="1"/>
  <c r="BL35" i="1"/>
  <c r="CH35" i="1" s="1"/>
  <c r="BT35" i="1"/>
  <c r="BN35" i="1"/>
  <c r="CI35" i="1" s="1"/>
  <c r="BX35" i="1"/>
  <c r="BY35" i="1"/>
  <c r="CC35" i="1" s="1"/>
  <c r="U36" i="1"/>
  <c r="AK36" i="1"/>
  <c r="T37" i="1"/>
  <c r="AL37" i="1"/>
  <c r="BD37" i="1"/>
  <c r="U51" i="1"/>
  <c r="AC51" i="1"/>
  <c r="AC52" i="1"/>
  <c r="AK51" i="1"/>
  <c r="AK52" i="1"/>
  <c r="AS51" i="1"/>
  <c r="BA51" i="1"/>
  <c r="T51" i="1"/>
  <c r="BP57" i="1"/>
  <c r="CK57" i="1" s="1"/>
  <c r="BE118" i="1"/>
  <c r="CB58" i="1"/>
  <c r="Y60" i="1"/>
  <c r="AC63" i="1"/>
  <c r="BD63" i="1"/>
  <c r="AV64" i="1"/>
  <c r="AV124" i="1" s="1"/>
  <c r="AM65" i="1"/>
  <c r="BW70" i="1"/>
  <c r="AA75" i="1"/>
  <c r="BT82" i="1"/>
  <c r="AC90" i="1"/>
  <c r="AC97" i="1"/>
  <c r="BV90" i="1"/>
  <c r="BN90" i="1"/>
  <c r="BX90" i="1"/>
  <c r="BP95" i="1"/>
  <c r="AH115" i="1"/>
  <c r="AH60" i="1"/>
  <c r="AQ109" i="1"/>
  <c r="AQ81" i="1"/>
  <c r="BU79" i="1"/>
  <c r="BV103" i="1"/>
  <c r="BN103" i="1"/>
  <c r="V63" i="1"/>
  <c r="V22" i="1"/>
  <c r="AL21" i="1"/>
  <c r="BA22" i="1"/>
  <c r="CB22" i="1" s="1"/>
  <c r="CH28" i="1"/>
  <c r="BL36" i="1"/>
  <c r="AN51" i="1"/>
  <c r="BL48" i="1"/>
  <c r="AN52" i="1"/>
  <c r="AU117" i="1"/>
  <c r="BN57" i="1"/>
  <c r="BV57" i="1"/>
  <c r="BR18" i="1"/>
  <c r="AT21" i="1"/>
  <c r="AS22" i="1"/>
  <c r="BS30" i="1"/>
  <c r="CD30" i="1" s="1"/>
  <c r="P37" i="1"/>
  <c r="P36" i="1"/>
  <c r="AF37" i="1"/>
  <c r="AF36" i="1"/>
  <c r="CF40" i="1"/>
  <c r="CC40" i="1"/>
  <c r="CA45" i="1"/>
  <c r="AR52" i="1"/>
  <c r="AR51" i="1"/>
  <c r="BU48" i="1"/>
  <c r="BP48" i="1"/>
  <c r="CK48" i="1" s="1"/>
  <c r="BY49" i="1"/>
  <c r="CF49" i="1" s="1"/>
  <c r="W115" i="1"/>
  <c r="E115" i="1" s="1"/>
  <c r="W60" i="1"/>
  <c r="E60" i="1" s="1"/>
  <c r="AM115" i="1"/>
  <c r="BT55" i="1"/>
  <c r="BC115" i="1"/>
  <c r="BP55" i="1"/>
  <c r="BC67" i="1"/>
  <c r="BC60" i="1"/>
  <c r="BX55" i="1"/>
  <c r="BS55" i="1"/>
  <c r="AX60" i="1"/>
  <c r="S124" i="1"/>
  <c r="BL95" i="1"/>
  <c r="AO96" i="1"/>
  <c r="BT95" i="1"/>
  <c r="CI10" i="1"/>
  <c r="CD14" i="1"/>
  <c r="BM15" i="1"/>
  <c r="BW15" i="1"/>
  <c r="BO15" i="1"/>
  <c r="CJ15" i="1" s="1"/>
  <c r="T22" i="1"/>
  <c r="T21" i="1"/>
  <c r="AB63" i="1"/>
  <c r="AB22" i="1"/>
  <c r="AB21" i="1"/>
  <c r="AJ63" i="1"/>
  <c r="AJ22" i="1"/>
  <c r="AJ21" i="1"/>
  <c r="BU18" i="1"/>
  <c r="AR22" i="1"/>
  <c r="AR63" i="1"/>
  <c r="AR21" i="1"/>
  <c r="AZ22" i="1"/>
  <c r="AZ21" i="1"/>
  <c r="BV19" i="1"/>
  <c r="BW20" i="1"/>
  <c r="R21" i="1"/>
  <c r="AH21" i="1"/>
  <c r="AX21" i="1"/>
  <c r="BR33" i="1"/>
  <c r="CD33" i="1" s="1"/>
  <c r="AX37" i="1"/>
  <c r="BL33" i="1"/>
  <c r="BT34" i="1"/>
  <c r="AM37" i="1"/>
  <c r="BE37" i="1"/>
  <c r="BY45" i="1"/>
  <c r="CC45" i="1" s="1"/>
  <c r="BW45" i="1"/>
  <c r="BO45" i="1"/>
  <c r="BX48" i="1"/>
  <c r="CF48" i="1" s="1"/>
  <c r="BW50" i="1"/>
  <c r="AM116" i="1"/>
  <c r="I116" i="1" s="1"/>
  <c r="BL56" i="1"/>
  <c r="BT56" i="1"/>
  <c r="AU116" i="1"/>
  <c r="K116" i="1" s="1"/>
  <c r="BN56" i="1"/>
  <c r="CI56" i="1" s="1"/>
  <c r="BC116" i="1"/>
  <c r="M116" i="1" s="1"/>
  <c r="BX56" i="1"/>
  <c r="BS56" i="1"/>
  <c r="BU59" i="1"/>
  <c r="Z60" i="1"/>
  <c r="BA60" i="1"/>
  <c r="AT122" i="1"/>
  <c r="BY62" i="1"/>
  <c r="CC62" i="1" s="1"/>
  <c r="BU62" i="1"/>
  <c r="BB122" i="1"/>
  <c r="BS62" i="1"/>
  <c r="CD62" i="1" s="1"/>
  <c r="BX62" i="1"/>
  <c r="AF63" i="1"/>
  <c r="X64" i="1"/>
  <c r="X124" i="1" s="1"/>
  <c r="S67" i="1"/>
  <c r="AD101" i="1"/>
  <c r="AD82" i="1"/>
  <c r="AD75" i="1"/>
  <c r="CJ73" i="1"/>
  <c r="AU107" i="1"/>
  <c r="BV77" i="1"/>
  <c r="BN77" i="1"/>
  <c r="AU82" i="1"/>
  <c r="BC107" i="1"/>
  <c r="BC81" i="1"/>
  <c r="BX77" i="1"/>
  <c r="BC82" i="1"/>
  <c r="R82" i="1"/>
  <c r="R81" i="1"/>
  <c r="R109" i="1"/>
  <c r="AP109" i="1"/>
  <c r="AP81" i="1"/>
  <c r="AX109" i="1"/>
  <c r="BN79" i="1"/>
  <c r="CI79" i="1" s="1"/>
  <c r="BR79" i="1"/>
  <c r="CD79" i="1" s="1"/>
  <c r="BL79" i="1"/>
  <c r="CH79" i="1" s="1"/>
  <c r="AW96" i="1"/>
  <c r="CC93" i="1"/>
  <c r="AF100" i="1"/>
  <c r="AF82" i="1"/>
  <c r="AF75" i="1"/>
  <c r="T109" i="1"/>
  <c r="T81" i="1"/>
  <c r="AJ109" i="1"/>
  <c r="AJ111" i="1" s="1"/>
  <c r="AJ81" i="1"/>
  <c r="Q110" i="1"/>
  <c r="AW110" i="1"/>
  <c r="BV80" i="1"/>
  <c r="T82" i="1"/>
  <c r="CJ87" i="1"/>
  <c r="CK87" i="1"/>
  <c r="CA90" i="1"/>
  <c r="Q108" i="1"/>
  <c r="Q112" i="1" s="1"/>
  <c r="Q97" i="1"/>
  <c r="BB64" i="1"/>
  <c r="BA65" i="1"/>
  <c r="BA125" i="1" s="1"/>
  <c r="S22" i="1"/>
  <c r="AA22" i="1"/>
  <c r="AI22" i="1"/>
  <c r="AQ22" i="1"/>
  <c r="AY22" i="1"/>
  <c r="AA37" i="1"/>
  <c r="AI37" i="1"/>
  <c r="AQ37" i="1"/>
  <c r="AY37" i="1"/>
  <c r="BM33" i="1"/>
  <c r="BV33" i="1"/>
  <c r="CI44" i="1"/>
  <c r="V52" i="1"/>
  <c r="AD52" i="1"/>
  <c r="AL52" i="1"/>
  <c r="AT52" i="1"/>
  <c r="BB52" i="1"/>
  <c r="BR48" i="1"/>
  <c r="CB48" i="1"/>
  <c r="BW49" i="1"/>
  <c r="BT50" i="1"/>
  <c r="BU50" i="1"/>
  <c r="Z51" i="1"/>
  <c r="AL51" i="1"/>
  <c r="AY51" i="1"/>
  <c r="BR51" i="1" s="1"/>
  <c r="U117" i="1"/>
  <c r="AK117" i="1"/>
  <c r="AR118" i="1"/>
  <c r="BM118" i="1" s="1"/>
  <c r="BU58" i="1"/>
  <c r="BP58" i="1"/>
  <c r="AV119" i="1"/>
  <c r="BN59" i="1"/>
  <c r="BD119" i="1"/>
  <c r="BX119" i="1" s="1"/>
  <c r="BP59" i="1"/>
  <c r="BV59" i="1"/>
  <c r="P60" i="1"/>
  <c r="BE60" i="1"/>
  <c r="AX64" i="1"/>
  <c r="BE65" i="1"/>
  <c r="AA66" i="1"/>
  <c r="Y100" i="1"/>
  <c r="E100" i="1" s="1"/>
  <c r="Y82" i="1"/>
  <c r="Y75" i="1"/>
  <c r="E75" i="1" s="1"/>
  <c r="AG100" i="1"/>
  <c r="AG75" i="1"/>
  <c r="CH70" i="1"/>
  <c r="BL80" i="1"/>
  <c r="AW81" i="1"/>
  <c r="AN105" i="1"/>
  <c r="CA102" i="1"/>
  <c r="CB102" i="1"/>
  <c r="BS102" i="1"/>
  <c r="BU108" i="1"/>
  <c r="BM108" i="1"/>
  <c r="AB109" i="1"/>
  <c r="AB81" i="1"/>
  <c r="Y110" i="1"/>
  <c r="BE110" i="1"/>
  <c r="CA80" i="1"/>
  <c r="CB80" i="1"/>
  <c r="BX80" i="1"/>
  <c r="Y96" i="1"/>
  <c r="BO93" i="1"/>
  <c r="CJ93" i="1" s="1"/>
  <c r="AZ96" i="1"/>
  <c r="O123" i="1"/>
  <c r="X63" i="1"/>
  <c r="W64" i="1"/>
  <c r="V65" i="1"/>
  <c r="V125" i="1" s="1"/>
  <c r="BW33" i="1"/>
  <c r="CJ44" i="1"/>
  <c r="O52" i="1"/>
  <c r="O51" i="1"/>
  <c r="W52" i="1"/>
  <c r="W51" i="1"/>
  <c r="AE52" i="1"/>
  <c r="AE51" i="1"/>
  <c r="AM52" i="1"/>
  <c r="AM51" i="1"/>
  <c r="AU52" i="1"/>
  <c r="BV48" i="1"/>
  <c r="AU51" i="1"/>
  <c r="BC52" i="1"/>
  <c r="BC51" i="1"/>
  <c r="BS48" i="1"/>
  <c r="CC48" i="1"/>
  <c r="CC49" i="1"/>
  <c r="AD116" i="1"/>
  <c r="BS117" i="1"/>
  <c r="BS57" i="1"/>
  <c r="CD57" i="1" s="1"/>
  <c r="BR58" i="1"/>
  <c r="AO119" i="1"/>
  <c r="BE119" i="1"/>
  <c r="CA59" i="1"/>
  <c r="BX59" i="1"/>
  <c r="Q60" i="1"/>
  <c r="AE63" i="1"/>
  <c r="AU63" i="1"/>
  <c r="AZ124" i="1"/>
  <c r="Z82" i="1"/>
  <c r="Z100" i="1"/>
  <c r="Z75" i="1"/>
  <c r="AH82" i="1"/>
  <c r="AH100" i="1"/>
  <c r="AH75" i="1"/>
  <c r="AK75" i="1"/>
  <c r="AI110" i="1"/>
  <c r="BY80" i="1"/>
  <c r="CC80" i="1" s="1"/>
  <c r="AQ110" i="1"/>
  <c r="BU80" i="1"/>
  <c r="AY110" i="1"/>
  <c r="BW80" i="1"/>
  <c r="BO80" i="1"/>
  <c r="BM80" i="1"/>
  <c r="CH80" i="1" s="1"/>
  <c r="BE82" i="1"/>
  <c r="AB90" i="1"/>
  <c r="AB97" i="1"/>
  <c r="AB100" i="1"/>
  <c r="AS96" i="1"/>
  <c r="BU92" i="1"/>
  <c r="BM92" i="1"/>
  <c r="BY92" i="1"/>
  <c r="CF92" i="1" s="1"/>
  <c r="BA97" i="1"/>
  <c r="BA96" i="1"/>
  <c r="Q96" i="1"/>
  <c r="BC105" i="1"/>
  <c r="BP100" i="1"/>
  <c r="BL102" i="1"/>
  <c r="BT102" i="1"/>
  <c r="R63" i="1"/>
  <c r="R67" i="1" s="1"/>
  <c r="AH63" i="1"/>
  <c r="AX63" i="1"/>
  <c r="Y64" i="1"/>
  <c r="Y124" i="1" s="1"/>
  <c r="AO64" i="1"/>
  <c r="AW64" i="1"/>
  <c r="AW124" i="1" s="1"/>
  <c r="BE64" i="1"/>
  <c r="P65" i="1"/>
  <c r="P125" i="1" s="1"/>
  <c r="X65" i="1"/>
  <c r="X125" i="1" s="1"/>
  <c r="AF65" i="1"/>
  <c r="AF125" i="1" s="1"/>
  <c r="AN65" i="1"/>
  <c r="AN125" i="1" s="1"/>
  <c r="AV65" i="1"/>
  <c r="AV125" i="1" s="1"/>
  <c r="BD65" i="1"/>
  <c r="CK41" i="1"/>
  <c r="BN45" i="1"/>
  <c r="BU49" i="1"/>
  <c r="BR49" i="1"/>
  <c r="CD49" i="1" s="1"/>
  <c r="BL50" i="1"/>
  <c r="CH50" i="1" s="1"/>
  <c r="AQ51" i="1"/>
  <c r="BE51" i="1"/>
  <c r="P120" i="1"/>
  <c r="X115" i="1"/>
  <c r="AF115" i="1"/>
  <c r="BD115" i="1"/>
  <c r="CA115" i="1" s="1"/>
  <c r="BD60" i="1"/>
  <c r="AM118" i="1"/>
  <c r="I118" i="1" s="1"/>
  <c r="BL58" i="1"/>
  <c r="BV58" i="1"/>
  <c r="AU118" i="1"/>
  <c r="K118" i="1" s="1"/>
  <c r="AI119" i="1"/>
  <c r="H119" i="1" s="1"/>
  <c r="BY59" i="1"/>
  <c r="CC59" i="1" s="1"/>
  <c r="BM119" i="1"/>
  <c r="AY119" i="1"/>
  <c r="L119" i="1" s="1"/>
  <c r="BW59" i="1"/>
  <c r="BM59" i="1"/>
  <c r="AV60" i="1"/>
  <c r="AX122" i="1"/>
  <c r="AE101" i="1"/>
  <c r="AE75" i="1"/>
  <c r="G75" i="1" s="1"/>
  <c r="AB82" i="1"/>
  <c r="AP104" i="1"/>
  <c r="AP105" i="1" s="1"/>
  <c r="AP82" i="1"/>
  <c r="AP75" i="1"/>
  <c r="BT75" i="1" s="1"/>
  <c r="AS107" i="1"/>
  <c r="AS81" i="1"/>
  <c r="BM77" i="1"/>
  <c r="CH77" i="1" s="1"/>
  <c r="BU77" i="1"/>
  <c r="BY77" i="1"/>
  <c r="CC77" i="1" s="1"/>
  <c r="BA107" i="1"/>
  <c r="CB107" i="1" s="1"/>
  <c r="BA81" i="1"/>
  <c r="Z108" i="1"/>
  <c r="Z111" i="1" s="1"/>
  <c r="Z81" i="1"/>
  <c r="BA108" i="1"/>
  <c r="BW78" i="1"/>
  <c r="CJ85" i="1"/>
  <c r="BT100" i="1"/>
  <c r="AU105" i="1"/>
  <c r="BV100" i="1"/>
  <c r="BN100" i="1"/>
  <c r="Z63" i="1"/>
  <c r="AP63" i="1"/>
  <c r="AP67" i="1" s="1"/>
  <c r="Q64" i="1"/>
  <c r="AG64" i="1"/>
  <c r="AG124" i="1" s="1"/>
  <c r="AQ123" i="1"/>
  <c r="BM18" i="1"/>
  <c r="CH18" i="1" s="1"/>
  <c r="R124" i="1"/>
  <c r="Z124" i="1"/>
  <c r="AP124" i="1"/>
  <c r="Q125" i="1"/>
  <c r="Y125" i="1"/>
  <c r="AO125" i="1"/>
  <c r="O22" i="1"/>
  <c r="BC22" i="1"/>
  <c r="CI40" i="1"/>
  <c r="CF43" i="1"/>
  <c r="BO49" i="1"/>
  <c r="CJ49" i="1" s="1"/>
  <c r="BY50" i="1"/>
  <c r="AQ52" i="1"/>
  <c r="Q120" i="1"/>
  <c r="Y120" i="1"/>
  <c r="AG115" i="1"/>
  <c r="AO115" i="1"/>
  <c r="AW120" i="1"/>
  <c r="CA55" i="1"/>
  <c r="CB116" i="1"/>
  <c r="CA116" i="1"/>
  <c r="CA56" i="1"/>
  <c r="BX58" i="1"/>
  <c r="CF58" i="1" s="1"/>
  <c r="BO59" i="1"/>
  <c r="AW60" i="1"/>
  <c r="AC75" i="1"/>
  <c r="AI104" i="1"/>
  <c r="H104" i="1" s="1"/>
  <c r="AI82" i="1"/>
  <c r="BM74" i="1"/>
  <c r="BU74" i="1"/>
  <c r="AQ75" i="1"/>
  <c r="AQ104" i="1"/>
  <c r="AQ82" i="1"/>
  <c r="BP75" i="1"/>
  <c r="AT107" i="1"/>
  <c r="AT81" i="1"/>
  <c r="AT82" i="1"/>
  <c r="BB107" i="1"/>
  <c r="BB81" i="1"/>
  <c r="BS77" i="1"/>
  <c r="CD77" i="1" s="1"/>
  <c r="BY78" i="1"/>
  <c r="CC78" i="1" s="1"/>
  <c r="AA90" i="1"/>
  <c r="AM90" i="1"/>
  <c r="BL89" i="1"/>
  <c r="CH89" i="1" s="1"/>
  <c r="AM97" i="1"/>
  <c r="BT89" i="1"/>
  <c r="CI89" i="1"/>
  <c r="BY89" i="1"/>
  <c r="V108" i="1"/>
  <c r="V97" i="1"/>
  <c r="CA93" i="1"/>
  <c r="CB93" i="1"/>
  <c r="BS93" i="1"/>
  <c r="CD93" i="1" s="1"/>
  <c r="O105" i="1"/>
  <c r="W105" i="1"/>
  <c r="AM104" i="1"/>
  <c r="AM119" i="1"/>
  <c r="CA49" i="1"/>
  <c r="AA115" i="1"/>
  <c r="BM55" i="1"/>
  <c r="Z116" i="1"/>
  <c r="AH116" i="1"/>
  <c r="CB117" i="1"/>
  <c r="CA117" i="1"/>
  <c r="S60" i="1"/>
  <c r="AA60" i="1"/>
  <c r="F60" i="1" s="1"/>
  <c r="AI60" i="1"/>
  <c r="AQ60" i="1"/>
  <c r="AS122" i="1"/>
  <c r="BM122" i="1" s="1"/>
  <c r="CH122" i="1" s="1"/>
  <c r="BM62" i="1"/>
  <c r="CH62" i="1" s="1"/>
  <c r="AZ123" i="1"/>
  <c r="AY67" i="1"/>
  <c r="BB100" i="1"/>
  <c r="BB82" i="1"/>
  <c r="BS70" i="1"/>
  <c r="CD70" i="1" s="1"/>
  <c r="Z101" i="1"/>
  <c r="E101" i="1" s="1"/>
  <c r="AA102" i="1"/>
  <c r="F102" i="1" s="1"/>
  <c r="CF73" i="1"/>
  <c r="AR104" i="1"/>
  <c r="AR82" i="1"/>
  <c r="AV111" i="1"/>
  <c r="AD108" i="1"/>
  <c r="AW108" i="1"/>
  <c r="AW111" i="1" s="1"/>
  <c r="BE108" i="1"/>
  <c r="BE111" i="1" s="1"/>
  <c r="CA78" i="1"/>
  <c r="CI86" i="1"/>
  <c r="BW90" i="1"/>
  <c r="AK97" i="1"/>
  <c r="BT101" i="1"/>
  <c r="BS109" i="1"/>
  <c r="AC100" i="1"/>
  <c r="AS104" i="1"/>
  <c r="AS82" i="1"/>
  <c r="AW82" i="1"/>
  <c r="CA107" i="1"/>
  <c r="AX108" i="1"/>
  <c r="BR78" i="1"/>
  <c r="O109" i="1"/>
  <c r="O112" i="1" s="1"/>
  <c r="O81" i="1"/>
  <c r="W109" i="1"/>
  <c r="W111" i="1" s="1"/>
  <c r="W82" i="1"/>
  <c r="W81" i="1"/>
  <c r="AM109" i="1"/>
  <c r="BT79" i="1"/>
  <c r="BN109" i="1"/>
  <c r="BV109" i="1"/>
  <c r="BC109" i="1"/>
  <c r="BP79" i="1"/>
  <c r="BX79" i="1"/>
  <c r="V110" i="1"/>
  <c r="V82" i="1"/>
  <c r="BB110" i="1"/>
  <c r="BS110" i="1" s="1"/>
  <c r="CD110" i="1" s="1"/>
  <c r="BS80" i="1"/>
  <c r="CD80" i="1" s="1"/>
  <c r="AL81" i="1"/>
  <c r="AL97" i="1"/>
  <c r="BY87" i="1"/>
  <c r="CC87" i="1" s="1"/>
  <c r="BR92" i="1"/>
  <c r="BY95" i="1"/>
  <c r="CC95" i="1" s="1"/>
  <c r="R105" i="1"/>
  <c r="BR101" i="1"/>
  <c r="BV101" i="1"/>
  <c r="AE107" i="1"/>
  <c r="AE111" i="1" s="1"/>
  <c r="AC115" i="1"/>
  <c r="AK115" i="1"/>
  <c r="AS115" i="1"/>
  <c r="BA115" i="1"/>
  <c r="CB115" i="1" s="1"/>
  <c r="BO55" i="1"/>
  <c r="CJ55" i="1" s="1"/>
  <c r="AA117" i="1"/>
  <c r="BU117" i="1"/>
  <c r="BM117" i="1"/>
  <c r="BO117" i="1"/>
  <c r="BW117" i="1"/>
  <c r="BM57" i="1"/>
  <c r="BR118" i="1"/>
  <c r="AD119" i="1"/>
  <c r="U60" i="1"/>
  <c r="AC60" i="1"/>
  <c r="AK60" i="1"/>
  <c r="AS60" i="1"/>
  <c r="AU122" i="1"/>
  <c r="BV62" i="1"/>
  <c r="BC122" i="1"/>
  <c r="BC66" i="1"/>
  <c r="AQ67" i="1"/>
  <c r="Z119" i="1"/>
  <c r="Z104" i="1"/>
  <c r="E104" i="1" s="1"/>
  <c r="BW74" i="1"/>
  <c r="AZ75" i="1"/>
  <c r="BW75" i="1" s="1"/>
  <c r="P109" i="1"/>
  <c r="P82" i="1"/>
  <c r="X109" i="1"/>
  <c r="X111" i="1" s="1"/>
  <c r="X81" i="1"/>
  <c r="BV79" i="1"/>
  <c r="BT110" i="1"/>
  <c r="BV110" i="1"/>
  <c r="BN110" i="1"/>
  <c r="V81" i="1"/>
  <c r="AM81" i="1"/>
  <c r="BE81" i="1"/>
  <c r="AC82" i="1"/>
  <c r="AH90" i="1"/>
  <c r="AP97" i="1"/>
  <c r="AP90" i="1"/>
  <c r="AF90" i="1"/>
  <c r="AG96" i="1"/>
  <c r="T108" i="1"/>
  <c r="T111" i="1" s="1"/>
  <c r="T97" i="1"/>
  <c r="T96" i="1"/>
  <c r="BY93" i="1"/>
  <c r="BV93" i="1"/>
  <c r="BP93" i="1"/>
  <c r="BX93" i="1"/>
  <c r="BL94" i="1"/>
  <c r="BS95" i="1"/>
  <c r="CD95" i="1" s="1"/>
  <c r="S105" i="1"/>
  <c r="V115" i="1"/>
  <c r="AD115" i="1"/>
  <c r="AL115" i="1"/>
  <c r="AT115" i="1"/>
  <c r="AT60" i="1"/>
  <c r="BB115" i="1"/>
  <c r="BB60" i="1"/>
  <c r="BY55" i="1"/>
  <c r="CC55" i="1" s="1"/>
  <c r="AB117" i="1"/>
  <c r="AJ117" i="1"/>
  <c r="BW57" i="1"/>
  <c r="BM58" i="1"/>
  <c r="V60" i="1"/>
  <c r="AD60" i="1"/>
  <c r="AL60" i="1"/>
  <c r="AE105" i="1"/>
  <c r="CD73" i="1"/>
  <c r="BL74" i="1"/>
  <c r="AR75" i="1"/>
  <c r="Y108" i="1"/>
  <c r="AG108" i="1"/>
  <c r="AZ108" i="1"/>
  <c r="CB78" i="1"/>
  <c r="Q109" i="1"/>
  <c r="Q82" i="1"/>
  <c r="Q81" i="1"/>
  <c r="CA109" i="1"/>
  <c r="Y81" i="1"/>
  <c r="AN81" i="1"/>
  <c r="AV82" i="1"/>
  <c r="CH87" i="1"/>
  <c r="AQ90" i="1"/>
  <c r="J90" i="1" s="1"/>
  <c r="BU89" i="1"/>
  <c r="AZ97" i="1"/>
  <c r="BW97" i="1" s="1"/>
  <c r="U108" i="1"/>
  <c r="U112" i="1" s="1"/>
  <c r="U96" i="1"/>
  <c r="AC96" i="1"/>
  <c r="BD97" i="1"/>
  <c r="BP94" i="1"/>
  <c r="BX95" i="1"/>
  <c r="AU97" i="1"/>
  <c r="T105" i="1"/>
  <c r="AI105" i="1"/>
  <c r="AQ105" i="1"/>
  <c r="BU100" i="1"/>
  <c r="AY105" i="1"/>
  <c r="BO101" i="1"/>
  <c r="CJ101" i="1" s="1"/>
  <c r="BD105" i="1"/>
  <c r="AL102" i="1"/>
  <c r="H102" i="1" s="1"/>
  <c r="AA119" i="1"/>
  <c r="F119" i="1" s="1"/>
  <c r="AF122" i="1"/>
  <c r="AF107" i="1"/>
  <c r="AF111" i="1" s="1"/>
  <c r="AA108" i="1"/>
  <c r="AA81" i="1"/>
  <c r="AF81" i="1"/>
  <c r="AO81" i="1"/>
  <c r="AX81" i="1"/>
  <c r="AE82" i="1"/>
  <c r="AD97" i="1"/>
  <c r="BP88" i="1"/>
  <c r="CK88" i="1" s="1"/>
  <c r="BR90" i="1"/>
  <c r="AT97" i="1"/>
  <c r="BU97" i="1" s="1"/>
  <c r="BB97" i="1"/>
  <c r="BS92" i="1"/>
  <c r="BP92" i="1"/>
  <c r="CK92" i="1" s="1"/>
  <c r="CA92" i="1"/>
  <c r="O96" i="1"/>
  <c r="AI96" i="1"/>
  <c r="AQ96" i="1"/>
  <c r="BO94" i="1"/>
  <c r="CJ94" i="1" s="1"/>
  <c r="BM94" i="1"/>
  <c r="CI94" i="1" s="1"/>
  <c r="BY94" i="1"/>
  <c r="CC94" i="1" s="1"/>
  <c r="BN95" i="1"/>
  <c r="BV95" i="1"/>
  <c r="AA97" i="1"/>
  <c r="AK105" i="1"/>
  <c r="BE103" i="1"/>
  <c r="BS103" i="1" s="1"/>
  <c r="CD103" i="1" s="1"/>
  <c r="BX104" i="1"/>
  <c r="BP104" i="1"/>
  <c r="AY122" i="1"/>
  <c r="CC70" i="1"/>
  <c r="AX82" i="1"/>
  <c r="AB104" i="1"/>
  <c r="AN104" i="1"/>
  <c r="AX75" i="1"/>
  <c r="BN75" i="1" s="1"/>
  <c r="AG122" i="1"/>
  <c r="AG107" i="1"/>
  <c r="AY107" i="1"/>
  <c r="AY112" i="1" s="1"/>
  <c r="AY81" i="1"/>
  <c r="AB108" i="1"/>
  <c r="AU108" i="1"/>
  <c r="AD109" i="1"/>
  <c r="AT109" i="1"/>
  <c r="U110" i="1"/>
  <c r="AC110" i="1"/>
  <c r="AK110" i="1"/>
  <c r="AS110" i="1"/>
  <c r="BA110" i="1"/>
  <c r="BR110" i="1" s="1"/>
  <c r="BP80" i="1"/>
  <c r="AG81" i="1"/>
  <c r="AY82" i="1"/>
  <c r="AE90" i="1"/>
  <c r="AU96" i="1"/>
  <c r="BC96" i="1"/>
  <c r="BM93" i="1"/>
  <c r="BB96" i="1"/>
  <c r="V105" i="1"/>
  <c r="BS101" i="1"/>
  <c r="BP102" i="1"/>
  <c r="BX102" i="1"/>
  <c r="AA104" i="1"/>
  <c r="BN104" i="1"/>
  <c r="BN80" i="1"/>
  <c r="CI80" i="1" s="1"/>
  <c r="Y97" i="1"/>
  <c r="AG97" i="1"/>
  <c r="CD85" i="1"/>
  <c r="BE97" i="1"/>
  <c r="CA88" i="1"/>
  <c r="AW97" i="1"/>
  <c r="CB92" i="1"/>
  <c r="R108" i="1"/>
  <c r="R97" i="1"/>
  <c r="R96" i="1"/>
  <c r="Z96" i="1"/>
  <c r="BE96" i="1"/>
  <c r="S97" i="1"/>
  <c r="AR112" i="1"/>
  <c r="AR105" i="1"/>
  <c r="AZ105" i="1"/>
  <c r="AX102" i="1"/>
  <c r="BR102" i="1" s="1"/>
  <c r="BL107" i="1"/>
  <c r="S108" i="1"/>
  <c r="CB109" i="1"/>
  <c r="BT80" i="1"/>
  <c r="Z97" i="1"/>
  <c r="AH97" i="1"/>
  <c r="AO97" i="1"/>
  <c r="AX97" i="1"/>
  <c r="AX96" i="1"/>
  <c r="BR96" i="1" s="1"/>
  <c r="BV92" i="1"/>
  <c r="AM96" i="1"/>
  <c r="BT94" i="1"/>
  <c r="BX94" i="1"/>
  <c r="BM95" i="1"/>
  <c r="BW95" i="1"/>
  <c r="BO95" i="1"/>
  <c r="AT96" i="1"/>
  <c r="Q105" i="1"/>
  <c r="CB101" i="1"/>
  <c r="CA101" i="1"/>
  <c r="BX101" i="1"/>
  <c r="CF101" i="1" s="1"/>
  <c r="BM102" i="1"/>
  <c r="BW103" i="1"/>
  <c r="AN111" i="1"/>
  <c r="W96" i="1"/>
  <c r="AO111" i="1"/>
  <c r="BY103" i="1"/>
  <c r="BO103" i="1"/>
  <c r="CA104" i="1"/>
  <c r="AN112" i="1"/>
  <c r="AV112" i="1"/>
  <c r="BO104" i="1"/>
  <c r="CJ104" i="1" s="1"/>
  <c r="AV105" i="1"/>
  <c r="AR111" i="1"/>
  <c r="BL108" i="1"/>
  <c r="BT108" i="1"/>
  <c r="AW112" i="1"/>
  <c r="X105" i="1"/>
  <c r="AW105" i="1"/>
  <c r="BT122" i="1"/>
  <c r="BY90" i="1" l="1"/>
  <c r="CC90" i="1" s="1"/>
  <c r="I90" i="1"/>
  <c r="I115" i="1"/>
  <c r="G60" i="1"/>
  <c r="CK49" i="1"/>
  <c r="K119" i="1"/>
  <c r="L60" i="1"/>
  <c r="F116" i="1"/>
  <c r="BR104" i="1"/>
  <c r="CD104" i="1" s="1"/>
  <c r="F104" i="1"/>
  <c r="AK112" i="1"/>
  <c r="BV102" i="1"/>
  <c r="AA111" i="1"/>
  <c r="BO108" i="1"/>
  <c r="P111" i="1"/>
  <c r="S120" i="1"/>
  <c r="CC92" i="1"/>
  <c r="D60" i="1"/>
  <c r="I119" i="1"/>
  <c r="C105" i="1"/>
  <c r="F90" i="1"/>
  <c r="BX75" i="1"/>
  <c r="J104" i="1"/>
  <c r="AE112" i="1"/>
  <c r="G101" i="1"/>
  <c r="BX100" i="1"/>
  <c r="AI111" i="1"/>
  <c r="CD102" i="1"/>
  <c r="CB90" i="1"/>
  <c r="CH15" i="1"/>
  <c r="CD55" i="1"/>
  <c r="K117" i="1"/>
  <c r="BS90" i="1"/>
  <c r="F75" i="1"/>
  <c r="BV22" i="1"/>
  <c r="G115" i="1"/>
  <c r="CK33" i="1"/>
  <c r="CK62" i="1"/>
  <c r="BX108" i="1"/>
  <c r="BU115" i="1"/>
  <c r="CH45" i="1"/>
  <c r="M119" i="1"/>
  <c r="H75" i="1"/>
  <c r="F101" i="1"/>
  <c r="J118" i="1"/>
  <c r="K102" i="1"/>
  <c r="D117" i="1"/>
  <c r="J60" i="1"/>
  <c r="BY52" i="1"/>
  <c r="CC52" i="1" s="1"/>
  <c r="F100" i="1"/>
  <c r="G100" i="1"/>
  <c r="L118" i="1"/>
  <c r="L100" i="1"/>
  <c r="L104" i="1"/>
  <c r="G116" i="1"/>
  <c r="E116" i="1"/>
  <c r="BM97" i="1"/>
  <c r="AM112" i="1"/>
  <c r="I104" i="1"/>
  <c r="J75" i="1"/>
  <c r="M115" i="1"/>
  <c r="K60" i="1"/>
  <c r="BY75" i="1"/>
  <c r="CC75" i="1" s="1"/>
  <c r="I60" i="1"/>
  <c r="M103" i="1"/>
  <c r="K75" i="1"/>
  <c r="J119" i="1"/>
  <c r="H115" i="1"/>
  <c r="CH102" i="1"/>
  <c r="CH95" i="1"/>
  <c r="S111" i="1"/>
  <c r="O111" i="1"/>
  <c r="CK102" i="1"/>
  <c r="G90" i="1"/>
  <c r="AB111" i="1"/>
  <c r="BR82" i="1"/>
  <c r="D105" i="1"/>
  <c r="BS119" i="1"/>
  <c r="F117" i="1"/>
  <c r="AM111" i="1"/>
  <c r="H60" i="1"/>
  <c r="F115" i="1"/>
  <c r="W112" i="1"/>
  <c r="AM105" i="1"/>
  <c r="I105" i="1" s="1"/>
  <c r="BU119" i="1"/>
  <c r="BX110" i="1"/>
  <c r="CK59" i="1"/>
  <c r="CH33" i="1"/>
  <c r="AP112" i="1"/>
  <c r="CJ78" i="1"/>
  <c r="AD112" i="1"/>
  <c r="AT66" i="1"/>
  <c r="CH56" i="1"/>
  <c r="CJ45" i="1"/>
  <c r="M60" i="1"/>
  <c r="CI103" i="1"/>
  <c r="BP90" i="1"/>
  <c r="CC33" i="1"/>
  <c r="BN119" i="1"/>
  <c r="CH100" i="1"/>
  <c r="AQ120" i="1"/>
  <c r="J116" i="1"/>
  <c r="BR115" i="1"/>
  <c r="CK30" i="1"/>
  <c r="T66" i="1"/>
  <c r="CI101" i="1"/>
  <c r="C60" i="1"/>
  <c r="M75" i="1"/>
  <c r="I75" i="1"/>
  <c r="J115" i="1"/>
  <c r="D115" i="1"/>
  <c r="L75" i="1"/>
  <c r="H117" i="1"/>
  <c r="CI49" i="1"/>
  <c r="BU65" i="1"/>
  <c r="CK20" i="1"/>
  <c r="BO21" i="1"/>
  <c r="CD19" i="1"/>
  <c r="AA126" i="1"/>
  <c r="BP63" i="1"/>
  <c r="BR65" i="1"/>
  <c r="AL67" i="1"/>
  <c r="AS67" i="1"/>
  <c r="CH20" i="1"/>
  <c r="AF67" i="1"/>
  <c r="AX66" i="1"/>
  <c r="BY63" i="1"/>
  <c r="CC63" i="1" s="1"/>
  <c r="AX67" i="1"/>
  <c r="BO63" i="1"/>
  <c r="BT63" i="1"/>
  <c r="BV125" i="1"/>
  <c r="Y127" i="1"/>
  <c r="CD20" i="1"/>
  <c r="BN22" i="1"/>
  <c r="BM65" i="1"/>
  <c r="AO112" i="1"/>
  <c r="BS96" i="1"/>
  <c r="BP97" i="1"/>
  <c r="BY97" i="1"/>
  <c r="CC97" i="1" s="1"/>
  <c r="BD112" i="1"/>
  <c r="AV67" i="1"/>
  <c r="P112" i="1"/>
  <c r="CF19" i="1"/>
  <c r="BU107" i="1"/>
  <c r="BP36" i="1"/>
  <c r="CF57" i="1"/>
  <c r="AP111" i="1"/>
  <c r="CJ103" i="1"/>
  <c r="CK104" i="1"/>
  <c r="T112" i="1"/>
  <c r="BO97" i="1"/>
  <c r="CK97" i="1" s="1"/>
  <c r="CF74" i="1"/>
  <c r="AX105" i="1"/>
  <c r="K105" i="1" s="1"/>
  <c r="BW96" i="1"/>
  <c r="CF80" i="1"/>
  <c r="CK90" i="1"/>
  <c r="BX36" i="1"/>
  <c r="CI62" i="1"/>
  <c r="BD111" i="1"/>
  <c r="BO96" i="1"/>
  <c r="BO60" i="1"/>
  <c r="CI95" i="1"/>
  <c r="CK93" i="1"/>
  <c r="CF62" i="1"/>
  <c r="BR75" i="1"/>
  <c r="CD75" i="1" s="1"/>
  <c r="BS97" i="1"/>
  <c r="BU118" i="1"/>
  <c r="AD105" i="1"/>
  <c r="CI45" i="1"/>
  <c r="CH108" i="1"/>
  <c r="CK58" i="1"/>
  <c r="BR109" i="1"/>
  <c r="CD109" i="1" s="1"/>
  <c r="CK18" i="1"/>
  <c r="BP108" i="1"/>
  <c r="BY36" i="1"/>
  <c r="CI19" i="1"/>
  <c r="AW126" i="1"/>
  <c r="CK45" i="1"/>
  <c r="BY122" i="1"/>
  <c r="BY22" i="1"/>
  <c r="CC22" i="1" s="1"/>
  <c r="AR120" i="1"/>
  <c r="CK95" i="1"/>
  <c r="Y111" i="1"/>
  <c r="BW108" i="1"/>
  <c r="BO115" i="1"/>
  <c r="BS108" i="1"/>
  <c r="CI100" i="1"/>
  <c r="CD90" i="1"/>
  <c r="BP119" i="1"/>
  <c r="AG111" i="1"/>
  <c r="CH57" i="1"/>
  <c r="BW115" i="1"/>
  <c r="CF55" i="1"/>
  <c r="AJ112" i="1"/>
  <c r="CF95" i="1"/>
  <c r="AT67" i="1"/>
  <c r="CJ59" i="1"/>
  <c r="BV75" i="1"/>
  <c r="CF56" i="1"/>
  <c r="BR37" i="1"/>
  <c r="BW21" i="1"/>
  <c r="CK55" i="1"/>
  <c r="BL82" i="1"/>
  <c r="CD59" i="1"/>
  <c r="BL22" i="1"/>
  <c r="CF78" i="1"/>
  <c r="CH58" i="1"/>
  <c r="CI58" i="1"/>
  <c r="BR108" i="1"/>
  <c r="AX111" i="1"/>
  <c r="BL97" i="1"/>
  <c r="CH97" i="1" s="1"/>
  <c r="BT97" i="1"/>
  <c r="BM110" i="1"/>
  <c r="CH110" i="1" s="1"/>
  <c r="BU110" i="1"/>
  <c r="Y112" i="1"/>
  <c r="Y105" i="1"/>
  <c r="E105" i="1" s="1"/>
  <c r="AC111" i="1"/>
  <c r="BV97" i="1"/>
  <c r="BN97" i="1"/>
  <c r="CI97" i="1" s="1"/>
  <c r="BU60" i="1"/>
  <c r="BM60" i="1"/>
  <c r="BV107" i="1"/>
  <c r="AU111" i="1"/>
  <c r="BN107" i="1"/>
  <c r="AU112" i="1"/>
  <c r="X112" i="1"/>
  <c r="CH93" i="1"/>
  <c r="CI93" i="1"/>
  <c r="BO81" i="1"/>
  <c r="CJ81" i="1" s="1"/>
  <c r="BW81" i="1"/>
  <c r="AS120" i="1"/>
  <c r="BM115" i="1"/>
  <c r="BB112" i="1"/>
  <c r="BS100" i="1"/>
  <c r="BB105" i="1"/>
  <c r="BY100" i="1"/>
  <c r="CC100" i="1" s="1"/>
  <c r="BO100" i="1"/>
  <c r="CJ100" i="1" s="1"/>
  <c r="BD125" i="1"/>
  <c r="BP65" i="1"/>
  <c r="BX65" i="1"/>
  <c r="AO124" i="1"/>
  <c r="AO126" i="1" s="1"/>
  <c r="AO66" i="1"/>
  <c r="AO67" i="1"/>
  <c r="CH92" i="1"/>
  <c r="CI92" i="1"/>
  <c r="AJ123" i="1"/>
  <c r="AJ126" i="1" s="1"/>
  <c r="AJ66" i="1"/>
  <c r="AJ67" i="1"/>
  <c r="CK108" i="1"/>
  <c r="BA123" i="1"/>
  <c r="BA126" i="1" s="1"/>
  <c r="BA66" i="1"/>
  <c r="BR66" i="1" s="1"/>
  <c r="BW63" i="1"/>
  <c r="BA67" i="1"/>
  <c r="BR117" i="1"/>
  <c r="CD117" i="1" s="1"/>
  <c r="AX120" i="1"/>
  <c r="BN36" i="1"/>
  <c r="BV36" i="1"/>
  <c r="AI124" i="1"/>
  <c r="BY64" i="1"/>
  <c r="CC64" i="1" s="1"/>
  <c r="AI67" i="1"/>
  <c r="AI66" i="1"/>
  <c r="AG123" i="1"/>
  <c r="AG127" i="1" s="1"/>
  <c r="AG66" i="1"/>
  <c r="AG67" i="1"/>
  <c r="P123" i="1"/>
  <c r="P66" i="1"/>
  <c r="P67" i="1"/>
  <c r="BW60" i="1"/>
  <c r="AH120" i="1"/>
  <c r="AE120" i="1"/>
  <c r="CD36" i="1"/>
  <c r="R111" i="1"/>
  <c r="R112" i="1"/>
  <c r="BV96" i="1"/>
  <c r="BN96" i="1"/>
  <c r="CB81" i="1"/>
  <c r="CA81" i="1"/>
  <c r="AK120" i="1"/>
  <c r="AS112" i="1"/>
  <c r="AS105" i="1"/>
  <c r="J105" i="1" s="1"/>
  <c r="AS111" i="1"/>
  <c r="BY107" i="1"/>
  <c r="CC107" i="1" s="1"/>
  <c r="BM107" i="1"/>
  <c r="CH107" i="1" s="1"/>
  <c r="BN82" i="1"/>
  <c r="BV82" i="1"/>
  <c r="V123" i="1"/>
  <c r="V126" i="1" s="1"/>
  <c r="V66" i="1"/>
  <c r="V67" i="1"/>
  <c r="AC123" i="1"/>
  <c r="AC126" i="1" s="1"/>
  <c r="AC66" i="1"/>
  <c r="AC67" i="1"/>
  <c r="BT117" i="1"/>
  <c r="BL117" i="1"/>
  <c r="CH117" i="1" s="1"/>
  <c r="BY116" i="1"/>
  <c r="CC116" i="1" s="1"/>
  <c r="AI120" i="1"/>
  <c r="AX112" i="1"/>
  <c r="BR81" i="1"/>
  <c r="AL112" i="1"/>
  <c r="AL105" i="1"/>
  <c r="CI119" i="1"/>
  <c r="BL81" i="1"/>
  <c r="BT81" i="1"/>
  <c r="BY117" i="1"/>
  <c r="CC117" i="1" s="1"/>
  <c r="BY115" i="1"/>
  <c r="CC115" i="1" s="1"/>
  <c r="AH123" i="1"/>
  <c r="AH126" i="1" s="1"/>
  <c r="AH66" i="1"/>
  <c r="AH67" i="1"/>
  <c r="BL51" i="1"/>
  <c r="BT51" i="1"/>
  <c r="BV116" i="1"/>
  <c r="BN116" i="1"/>
  <c r="AR123" i="1"/>
  <c r="AR66" i="1"/>
  <c r="BM63" i="1"/>
  <c r="BU63" i="1"/>
  <c r="AR67" i="1"/>
  <c r="AB123" i="1"/>
  <c r="AB126" i="1" s="1"/>
  <c r="AB66" i="1"/>
  <c r="AB67" i="1"/>
  <c r="S126" i="1"/>
  <c r="S127" i="1"/>
  <c r="O125" i="1"/>
  <c r="O126" i="1" s="1"/>
  <c r="O67" i="1"/>
  <c r="O66" i="1"/>
  <c r="BY51" i="1"/>
  <c r="CC51" i="1" s="1"/>
  <c r="BS118" i="1"/>
  <c r="CD118" i="1" s="1"/>
  <c r="BW118" i="1"/>
  <c r="BO118" i="1"/>
  <c r="BT60" i="1"/>
  <c r="BL60" i="1"/>
  <c r="BM104" i="1"/>
  <c r="CI104" i="1" s="1"/>
  <c r="BU104" i="1"/>
  <c r="AQ112" i="1"/>
  <c r="CF50" i="1"/>
  <c r="CC50" i="1"/>
  <c r="AL123" i="1"/>
  <c r="AL126" i="1" s="1"/>
  <c r="AL66" i="1"/>
  <c r="Q124" i="1"/>
  <c r="Q67" i="1"/>
  <c r="CC103" i="1"/>
  <c r="CB103" i="1"/>
  <c r="CA103" i="1"/>
  <c r="BE112" i="1"/>
  <c r="BP103" i="1"/>
  <c r="CK103" i="1" s="1"/>
  <c r="BE105" i="1"/>
  <c r="BP105" i="1" s="1"/>
  <c r="BX103" i="1"/>
  <c r="CF103" i="1" s="1"/>
  <c r="AQ111" i="1"/>
  <c r="AO120" i="1"/>
  <c r="BX51" i="1"/>
  <c r="BP51" i="1"/>
  <c r="BS51" i="1"/>
  <c r="CD51" i="1" s="1"/>
  <c r="W124" i="1"/>
  <c r="W126" i="1" s="1"/>
  <c r="W67" i="1"/>
  <c r="W66" i="1"/>
  <c r="BE125" i="1"/>
  <c r="CB65" i="1"/>
  <c r="CA65" i="1"/>
  <c r="BV119" i="1"/>
  <c r="AV120" i="1"/>
  <c r="BM37" i="1"/>
  <c r="BU37" i="1"/>
  <c r="BY21" i="1"/>
  <c r="CC21" i="1" s="1"/>
  <c r="BT21" i="1"/>
  <c r="BL21" i="1"/>
  <c r="BN60" i="1"/>
  <c r="CJ60" i="1" s="1"/>
  <c r="BV60" i="1"/>
  <c r="AM66" i="1"/>
  <c r="BM105" i="1"/>
  <c r="BU105" i="1"/>
  <c r="BC126" i="1"/>
  <c r="BX122" i="1"/>
  <c r="BP122" i="1"/>
  <c r="BB111" i="1"/>
  <c r="BS107" i="1"/>
  <c r="BT112" i="1"/>
  <c r="BL112" i="1"/>
  <c r="BN118" i="1"/>
  <c r="CI118" i="1" s="1"/>
  <c r="BV118" i="1"/>
  <c r="V120" i="1"/>
  <c r="CA111" i="1"/>
  <c r="CA118" i="1"/>
  <c r="CB118" i="1"/>
  <c r="BP118" i="1"/>
  <c r="CK118" i="1" s="1"/>
  <c r="BE120" i="1"/>
  <c r="BX118" i="1"/>
  <c r="AI125" i="1"/>
  <c r="BY65" i="1"/>
  <c r="CC65" i="1" s="1"/>
  <c r="CD96" i="1"/>
  <c r="CK94" i="1"/>
  <c r="BY118" i="1"/>
  <c r="CC118" i="1" s="1"/>
  <c r="AT111" i="1"/>
  <c r="AT112" i="1"/>
  <c r="CI74" i="1"/>
  <c r="CH74" i="1"/>
  <c r="BT118" i="1"/>
  <c r="BL118" i="1"/>
  <c r="CH118" i="1" s="1"/>
  <c r="AM125" i="1"/>
  <c r="BT65" i="1"/>
  <c r="BL65" i="1"/>
  <c r="BO52" i="1"/>
  <c r="BR52" i="1"/>
  <c r="BW52" i="1"/>
  <c r="BV81" i="1"/>
  <c r="AE124" i="1"/>
  <c r="AE67" i="1"/>
  <c r="BE123" i="1"/>
  <c r="CB63" i="1"/>
  <c r="CA63" i="1"/>
  <c r="BY102" i="1"/>
  <c r="CC102" i="1" s="1"/>
  <c r="BO116" i="1"/>
  <c r="BW116" i="1"/>
  <c r="AL120" i="1"/>
  <c r="AY120" i="1"/>
  <c r="CD108" i="1"/>
  <c r="BP22" i="1"/>
  <c r="BX22" i="1"/>
  <c r="AF120" i="1"/>
  <c r="R123" i="1"/>
  <c r="R126" i="1" s="1"/>
  <c r="R66" i="1"/>
  <c r="CJ80" i="1"/>
  <c r="X123" i="1"/>
  <c r="X126" i="1" s="1"/>
  <c r="X66" i="1"/>
  <c r="CA110" i="1"/>
  <c r="CB110" i="1"/>
  <c r="BY37" i="1"/>
  <c r="CC37" i="1" s="1"/>
  <c r="CB37" i="1"/>
  <c r="CA37" i="1"/>
  <c r="BC127" i="1"/>
  <c r="BC120" i="1"/>
  <c r="BP115" i="1"/>
  <c r="BX115" i="1"/>
  <c r="CF115" i="1" s="1"/>
  <c r="BM81" i="1"/>
  <c r="BU81" i="1"/>
  <c r="R120" i="1"/>
  <c r="CA96" i="1"/>
  <c r="CB96" i="1"/>
  <c r="BY96" i="1"/>
  <c r="CC96" i="1" s="1"/>
  <c r="BL96" i="1"/>
  <c r="BT96" i="1"/>
  <c r="CK80" i="1"/>
  <c r="BN108" i="1"/>
  <c r="CI108" i="1" s="1"/>
  <c r="BV108" i="1"/>
  <c r="U111" i="1"/>
  <c r="BS115" i="1"/>
  <c r="CD115" i="1" s="1"/>
  <c r="BB120" i="1"/>
  <c r="BA120" i="1"/>
  <c r="U120" i="1"/>
  <c r="AD111" i="1"/>
  <c r="BU122" i="1"/>
  <c r="BS81" i="1"/>
  <c r="BU82" i="1"/>
  <c r="BM82" i="1"/>
  <c r="CH82" i="1" s="1"/>
  <c r="BM52" i="1"/>
  <c r="BU52" i="1"/>
  <c r="CH59" i="1"/>
  <c r="AB112" i="1"/>
  <c r="AB105" i="1"/>
  <c r="CF59" i="1"/>
  <c r="BN52" i="1"/>
  <c r="CI52" i="1" s="1"/>
  <c r="BV52" i="1"/>
  <c r="CF87" i="1"/>
  <c r="BM22" i="1"/>
  <c r="CI22" i="1" s="1"/>
  <c r="BU22" i="1"/>
  <c r="Q111" i="1"/>
  <c r="AF112" i="1"/>
  <c r="AF105" i="1"/>
  <c r="G105" i="1" s="1"/>
  <c r="BP107" i="1"/>
  <c r="BC111" i="1"/>
  <c r="BX107" i="1"/>
  <c r="CD56" i="1"/>
  <c r="BL115" i="1"/>
  <c r="BT115" i="1"/>
  <c r="AM120" i="1"/>
  <c r="CJ90" i="1"/>
  <c r="BV65" i="1"/>
  <c r="CJ34" i="1"/>
  <c r="AU124" i="1"/>
  <c r="BN64" i="1"/>
  <c r="BV64" i="1"/>
  <c r="BN125" i="1"/>
  <c r="BU21" i="1"/>
  <c r="BM21" i="1"/>
  <c r="CJ35" i="1"/>
  <c r="CD58" i="1"/>
  <c r="CF45" i="1"/>
  <c r="T120" i="1"/>
  <c r="T127" i="1"/>
  <c r="CJ30" i="1"/>
  <c r="U123" i="1"/>
  <c r="U126" i="1" s="1"/>
  <c r="U66" i="1"/>
  <c r="BY60" i="1"/>
  <c r="BL119" i="1"/>
  <c r="CH119" i="1" s="1"/>
  <c r="BT119" i="1"/>
  <c r="BU75" i="1"/>
  <c r="BM75" i="1"/>
  <c r="CH75" i="1" s="1"/>
  <c r="BO119" i="1"/>
  <c r="CJ119" i="1" s="1"/>
  <c r="BW119" i="1"/>
  <c r="CB51" i="1"/>
  <c r="CA51" i="1"/>
  <c r="Z112" i="1"/>
  <c r="Z105" i="1"/>
  <c r="CB119" i="1"/>
  <c r="CA119" i="1"/>
  <c r="BT52" i="1"/>
  <c r="BL52" i="1"/>
  <c r="CI77" i="1"/>
  <c r="BP116" i="1"/>
  <c r="BX116" i="1"/>
  <c r="BP60" i="1"/>
  <c r="CK60" i="1" s="1"/>
  <c r="BX60" i="1"/>
  <c r="CC36" i="1"/>
  <c r="CB36" i="1"/>
  <c r="CA36" i="1"/>
  <c r="BX21" i="1"/>
  <c r="BP21" i="1"/>
  <c r="CK21" i="1" s="1"/>
  <c r="Y66" i="1"/>
  <c r="AU120" i="1"/>
  <c r="K120" i="1" s="1"/>
  <c r="BV115" i="1"/>
  <c r="BN115" i="1"/>
  <c r="AZ111" i="1"/>
  <c r="Q123" i="1"/>
  <c r="Q66" i="1"/>
  <c r="CC72" i="1"/>
  <c r="CF72" i="1"/>
  <c r="BM36" i="1"/>
  <c r="CH36" i="1" s="1"/>
  <c r="BU36" i="1"/>
  <c r="BL63" i="1"/>
  <c r="AN123" i="1"/>
  <c r="AN66" i="1"/>
  <c r="AN67" i="1"/>
  <c r="CF34" i="1"/>
  <c r="CD18" i="1"/>
  <c r="CJ95" i="1"/>
  <c r="BR97" i="1"/>
  <c r="CD97" i="1" s="1"/>
  <c r="AJ105" i="1"/>
  <c r="H105" i="1" s="1"/>
  <c r="BP110" i="1"/>
  <c r="CD101" i="1"/>
  <c r="BP96" i="1"/>
  <c r="CK96" i="1" s="1"/>
  <c r="BX96" i="1"/>
  <c r="BO107" i="1"/>
  <c r="AY111" i="1"/>
  <c r="BW107" i="1"/>
  <c r="CH94" i="1"/>
  <c r="CD92" i="1"/>
  <c r="BM90" i="1"/>
  <c r="CH90" i="1" s="1"/>
  <c r="BU90" i="1"/>
  <c r="AT127" i="1"/>
  <c r="AT120" i="1"/>
  <c r="CF93" i="1"/>
  <c r="BT109" i="1"/>
  <c r="BL109" i="1"/>
  <c r="AC112" i="1"/>
  <c r="AC105" i="1"/>
  <c r="BS82" i="1"/>
  <c r="CD82" i="1" s="1"/>
  <c r="CH55" i="1"/>
  <c r="BL104" i="1"/>
  <c r="BT104" i="1"/>
  <c r="BL90" i="1"/>
  <c r="BT90" i="1"/>
  <c r="AG120" i="1"/>
  <c r="BN105" i="1"/>
  <c r="BV105" i="1"/>
  <c r="Y67" i="1"/>
  <c r="BU51" i="1"/>
  <c r="BM51" i="1"/>
  <c r="CH51" i="1" s="1"/>
  <c r="AX123" i="1"/>
  <c r="BR63" i="1"/>
  <c r="CB82" i="1"/>
  <c r="CA82" i="1"/>
  <c r="BY110" i="1"/>
  <c r="CF110" i="1" s="1"/>
  <c r="CD48" i="1"/>
  <c r="CI59" i="1"/>
  <c r="BO51" i="1"/>
  <c r="BW51" i="1"/>
  <c r="BS52" i="1"/>
  <c r="CD52" i="1" s="1"/>
  <c r="BO37" i="1"/>
  <c r="BW37" i="1"/>
  <c r="AF123" i="1"/>
  <c r="AF126" i="1" s="1"/>
  <c r="AF66" i="1"/>
  <c r="AT126" i="1"/>
  <c r="BR21" i="1"/>
  <c r="BV21" i="1"/>
  <c r="W120" i="1"/>
  <c r="BD123" i="1"/>
  <c r="BD66" i="1"/>
  <c r="BX63" i="1"/>
  <c r="CF35" i="1"/>
  <c r="BN21" i="1"/>
  <c r="CJ21" i="1" s="1"/>
  <c r="Y126" i="1"/>
  <c r="AK123" i="1"/>
  <c r="AK126" i="1" s="1"/>
  <c r="AK66" i="1"/>
  <c r="CK70" i="1"/>
  <c r="CI15" i="1"/>
  <c r="AW67" i="1"/>
  <c r="CJ56" i="1"/>
  <c r="AW66" i="1"/>
  <c r="AJ120" i="1"/>
  <c r="BU125" i="1"/>
  <c r="BM125" i="1"/>
  <c r="CK34" i="1"/>
  <c r="BS22" i="1"/>
  <c r="AP120" i="1"/>
  <c r="BE66" i="1"/>
  <c r="AS123" i="1"/>
  <c r="AS66" i="1"/>
  <c r="BL111" i="1"/>
  <c r="BT111" i="1"/>
  <c r="BM96" i="1"/>
  <c r="BU96" i="1"/>
  <c r="V111" i="1"/>
  <c r="CF75" i="1"/>
  <c r="CF100" i="1"/>
  <c r="BP52" i="1"/>
  <c r="CK52" i="1" s="1"/>
  <c r="BX52" i="1"/>
  <c r="CF52" i="1" s="1"/>
  <c r="AX124" i="1"/>
  <c r="BR124" i="1" s="1"/>
  <c r="BR64" i="1"/>
  <c r="BP82" i="1"/>
  <c r="BX82" i="1"/>
  <c r="BR60" i="1"/>
  <c r="BY81" i="1"/>
  <c r="CC81" i="1" s="1"/>
  <c r="BN65" i="1"/>
  <c r="CJ79" i="1"/>
  <c r="CF94" i="1"/>
  <c r="CA97" i="1"/>
  <c r="CB97" i="1"/>
  <c r="BW82" i="1"/>
  <c r="BO82" i="1"/>
  <c r="AC120" i="1"/>
  <c r="CK79" i="1"/>
  <c r="CB108" i="1"/>
  <c r="CA108" i="1"/>
  <c r="BY104" i="1"/>
  <c r="CC104" i="1" s="1"/>
  <c r="AW127" i="1"/>
  <c r="Z123" i="1"/>
  <c r="Z126" i="1" s="1"/>
  <c r="Z66" i="1"/>
  <c r="BT105" i="1"/>
  <c r="BL105" i="1"/>
  <c r="BR122" i="1"/>
  <c r="BY119" i="1"/>
  <c r="CF119" i="1" s="1"/>
  <c r="BD67" i="1"/>
  <c r="X67" i="1"/>
  <c r="AE123" i="1"/>
  <c r="AE66" i="1"/>
  <c r="BV51" i="1"/>
  <c r="BN51" i="1"/>
  <c r="BX97" i="1"/>
  <c r="CF97" i="1" s="1"/>
  <c r="AG112" i="1"/>
  <c r="AG105" i="1"/>
  <c r="CC60" i="1"/>
  <c r="CA60" i="1"/>
  <c r="CB60" i="1"/>
  <c r="CF77" i="1"/>
  <c r="BL37" i="1"/>
  <c r="BT37" i="1"/>
  <c r="CI57" i="1"/>
  <c r="BM109" i="1"/>
  <c r="CI109" i="1" s="1"/>
  <c r="BU109" i="1"/>
  <c r="CF90" i="1"/>
  <c r="AZ126" i="1"/>
  <c r="BY109" i="1"/>
  <c r="CC109" i="1" s="1"/>
  <c r="CJ77" i="1"/>
  <c r="BR119" i="1"/>
  <c r="CD119" i="1" s="1"/>
  <c r="CH48" i="1"/>
  <c r="BX37" i="1"/>
  <c r="BP37" i="1"/>
  <c r="CI20" i="1"/>
  <c r="BR116" i="1"/>
  <c r="CJ20" i="1"/>
  <c r="BO75" i="1"/>
  <c r="CJ75" i="1" s="1"/>
  <c r="AD123" i="1"/>
  <c r="AD126" i="1" s="1"/>
  <c r="AD66" i="1"/>
  <c r="BW109" i="1"/>
  <c r="BO109" i="1"/>
  <c r="CJ109" i="1" s="1"/>
  <c r="Z67" i="1"/>
  <c r="BU116" i="1"/>
  <c r="BM116" i="1"/>
  <c r="CI48" i="1"/>
  <c r="BA112" i="1"/>
  <c r="BW112" i="1" s="1"/>
  <c r="BW100" i="1"/>
  <c r="BR100" i="1"/>
  <c r="BA105" i="1"/>
  <c r="BW105" i="1" s="1"/>
  <c r="BX117" i="1"/>
  <c r="CF117" i="1" s="1"/>
  <c r="BP117" i="1"/>
  <c r="CK117" i="1" s="1"/>
  <c r="BS21" i="1"/>
  <c r="BX64" i="1"/>
  <c r="CK35" i="1"/>
  <c r="CI18" i="1"/>
  <c r="BV37" i="1"/>
  <c r="BN37" i="1"/>
  <c r="AM124" i="1"/>
  <c r="BT64" i="1"/>
  <c r="BL64" i="1"/>
  <c r="BB123" i="1"/>
  <c r="BS63" i="1"/>
  <c r="CF79" i="1"/>
  <c r="BY82" i="1"/>
  <c r="CC82" i="1" s="1"/>
  <c r="AP123" i="1"/>
  <c r="AP126" i="1" s="1"/>
  <c r="AP66" i="1"/>
  <c r="AU123" i="1"/>
  <c r="BN63" i="1"/>
  <c r="BV63" i="1"/>
  <c r="BB124" i="1"/>
  <c r="BW124" i="1" s="1"/>
  <c r="BS64" i="1"/>
  <c r="BO64" i="1"/>
  <c r="BB66" i="1"/>
  <c r="CC122" i="1"/>
  <c r="CB122" i="1"/>
  <c r="CA122" i="1"/>
  <c r="AV123" i="1"/>
  <c r="AV66" i="1"/>
  <c r="AB120" i="1"/>
  <c r="BY105" i="1"/>
  <c r="BS60" i="1"/>
  <c r="AU66" i="1"/>
  <c r="CC89" i="1"/>
  <c r="CF89" i="1"/>
  <c r="AK111" i="1"/>
  <c r="V112" i="1"/>
  <c r="BW122" i="1"/>
  <c r="BO122" i="1"/>
  <c r="BR107" i="1"/>
  <c r="AI112" i="1"/>
  <c r="BB67" i="1"/>
  <c r="AD120" i="1"/>
  <c r="S112" i="1"/>
  <c r="BN122" i="1"/>
  <c r="CI122" i="1" s="1"/>
  <c r="BV122" i="1"/>
  <c r="BX109" i="1"/>
  <c r="CF109" i="1" s="1"/>
  <c r="BP109" i="1"/>
  <c r="CK101" i="1"/>
  <c r="AA127" i="1"/>
  <c r="AA120" i="1"/>
  <c r="F120" i="1" s="1"/>
  <c r="BA111" i="1"/>
  <c r="CB111" i="1" s="1"/>
  <c r="BD120" i="1"/>
  <c r="X120" i="1"/>
  <c r="BE124" i="1"/>
  <c r="CB64" i="1"/>
  <c r="CA64" i="1"/>
  <c r="BN102" i="1"/>
  <c r="BC112" i="1"/>
  <c r="BO110" i="1"/>
  <c r="CJ110" i="1" s="1"/>
  <c r="BW110" i="1"/>
  <c r="AH112" i="1"/>
  <c r="AH105" i="1"/>
  <c r="BS116" i="1"/>
  <c r="CD116" i="1" s="1"/>
  <c r="BY108" i="1"/>
  <c r="CC108" i="1" s="1"/>
  <c r="BW22" i="1"/>
  <c r="BO22" i="1"/>
  <c r="BX81" i="1"/>
  <c r="BP81" i="1"/>
  <c r="CK81" i="1" s="1"/>
  <c r="BS122" i="1"/>
  <c r="BT116" i="1"/>
  <c r="BL116" i="1"/>
  <c r="CJ57" i="1"/>
  <c r="AM67" i="1"/>
  <c r="BN117" i="1"/>
  <c r="CI117" i="1" s="1"/>
  <c r="BV117" i="1"/>
  <c r="BE67" i="1"/>
  <c r="AU67" i="1"/>
  <c r="O120" i="1"/>
  <c r="C120" i="1" s="1"/>
  <c r="BR22" i="1"/>
  <c r="BW64" i="1"/>
  <c r="CI33" i="1"/>
  <c r="AQ124" i="1"/>
  <c r="BU64" i="1"/>
  <c r="BM64" i="1"/>
  <c r="CH19" i="1"/>
  <c r="AA112" i="1"/>
  <c r="AA105" i="1"/>
  <c r="F105" i="1" s="1"/>
  <c r="BW36" i="1"/>
  <c r="BO36" i="1"/>
  <c r="CK36" i="1" s="1"/>
  <c r="AY125" i="1"/>
  <c r="AY127" i="1" s="1"/>
  <c r="BO65" i="1"/>
  <c r="BW65" i="1"/>
  <c r="Z120" i="1"/>
  <c r="CD78" i="1"/>
  <c r="BS37" i="1"/>
  <c r="CD37" i="1" s="1"/>
  <c r="BB125" i="1"/>
  <c r="BS65" i="1"/>
  <c r="AZ120" i="1"/>
  <c r="AZ127" i="1"/>
  <c r="CI55" i="1"/>
  <c r="BP64" i="1"/>
  <c r="CK15" i="1"/>
  <c r="CJ62" i="1"/>
  <c r="I120" i="1" l="1"/>
  <c r="M120" i="1"/>
  <c r="CI75" i="1"/>
  <c r="CD107" i="1"/>
  <c r="BO105" i="1"/>
  <c r="CJ105" i="1" s="1"/>
  <c r="CH115" i="1"/>
  <c r="CJ115" i="1"/>
  <c r="BU120" i="1"/>
  <c r="CF36" i="1"/>
  <c r="J120" i="1"/>
  <c r="M105" i="1"/>
  <c r="L120" i="1"/>
  <c r="H120" i="1"/>
  <c r="CI96" i="1"/>
  <c r="CI107" i="1"/>
  <c r="G120" i="1"/>
  <c r="CJ108" i="1"/>
  <c r="D120" i="1"/>
  <c r="E120" i="1"/>
  <c r="CF108" i="1"/>
  <c r="CI90" i="1"/>
  <c r="L105" i="1"/>
  <c r="CK63" i="1"/>
  <c r="CD65" i="1"/>
  <c r="BP66" i="1"/>
  <c r="CJ22" i="1"/>
  <c r="BE126" i="1"/>
  <c r="CB126" i="1" s="1"/>
  <c r="BR67" i="1"/>
  <c r="X127" i="1"/>
  <c r="BW67" i="1"/>
  <c r="AI126" i="1"/>
  <c r="BW66" i="1"/>
  <c r="CI65" i="1"/>
  <c r="AB127" i="1"/>
  <c r="CH21" i="1"/>
  <c r="AU127" i="1"/>
  <c r="BP67" i="1"/>
  <c r="BM66" i="1"/>
  <c r="BO67" i="1"/>
  <c r="CK67" i="1" s="1"/>
  <c r="AM127" i="1"/>
  <c r="BX124" i="1"/>
  <c r="AG126" i="1"/>
  <c r="BS125" i="1"/>
  <c r="AJ127" i="1"/>
  <c r="CF63" i="1"/>
  <c r="CH63" i="1"/>
  <c r="AC127" i="1"/>
  <c r="CJ64" i="1"/>
  <c r="BB126" i="1"/>
  <c r="BU123" i="1"/>
  <c r="BX66" i="1"/>
  <c r="BR123" i="1"/>
  <c r="CH65" i="1"/>
  <c r="AK127" i="1"/>
  <c r="CF64" i="1"/>
  <c r="CI36" i="1"/>
  <c r="CH81" i="1"/>
  <c r="CJ51" i="1"/>
  <c r="CC119" i="1"/>
  <c r="CF22" i="1"/>
  <c r="CI82" i="1"/>
  <c r="AH127" i="1"/>
  <c r="AX126" i="1"/>
  <c r="CK75" i="1"/>
  <c r="BM120" i="1"/>
  <c r="CK115" i="1"/>
  <c r="CK22" i="1"/>
  <c r="BP125" i="1"/>
  <c r="CJ117" i="1"/>
  <c r="Z127" i="1"/>
  <c r="BY123" i="1"/>
  <c r="CC123" i="1" s="1"/>
  <c r="BB127" i="1"/>
  <c r="CK37" i="1"/>
  <c r="AE126" i="1"/>
  <c r="CH96" i="1"/>
  <c r="CF104" i="1"/>
  <c r="CH22" i="1"/>
  <c r="BM123" i="1"/>
  <c r="CF122" i="1"/>
  <c r="AO127" i="1"/>
  <c r="CK107" i="1"/>
  <c r="CH37" i="1"/>
  <c r="CK110" i="1"/>
  <c r="CK122" i="1"/>
  <c r="CI116" i="1"/>
  <c r="CH64" i="1"/>
  <c r="CD122" i="1"/>
  <c r="CH109" i="1"/>
  <c r="BX105" i="1"/>
  <c r="AS126" i="1"/>
  <c r="BR105" i="1"/>
  <c r="BS105" i="1"/>
  <c r="CI110" i="1"/>
  <c r="BY125" i="1"/>
  <c r="CC125" i="1" s="1"/>
  <c r="CI63" i="1"/>
  <c r="CD63" i="1"/>
  <c r="BY111" i="1"/>
  <c r="CC111" i="1" s="1"/>
  <c r="BU67" i="1"/>
  <c r="CF65" i="1"/>
  <c r="CK64" i="1"/>
  <c r="CD64" i="1"/>
  <c r="BV67" i="1"/>
  <c r="BN67" i="1"/>
  <c r="BP123" i="1"/>
  <c r="BX123" i="1"/>
  <c r="BD126" i="1"/>
  <c r="Q126" i="1"/>
  <c r="Q127" i="1"/>
  <c r="BT123" i="1"/>
  <c r="BP124" i="1"/>
  <c r="BL123" i="1"/>
  <c r="BO112" i="1"/>
  <c r="V127" i="1"/>
  <c r="BU124" i="1"/>
  <c r="BM124" i="1"/>
  <c r="AQ127" i="1"/>
  <c r="BO66" i="1"/>
  <c r="CK105" i="1"/>
  <c r="W127" i="1"/>
  <c r="CI125" i="1"/>
  <c r="CH52" i="1"/>
  <c r="CC110" i="1"/>
  <c r="BR112" i="1"/>
  <c r="CK100" i="1"/>
  <c r="AX127" i="1"/>
  <c r="CF81" i="1"/>
  <c r="CK109" i="1"/>
  <c r="BS67" i="1"/>
  <c r="BS66" i="1"/>
  <c r="CD66" i="1" s="1"/>
  <c r="CD21" i="1"/>
  <c r="CH116" i="1"/>
  <c r="CF82" i="1"/>
  <c r="CA66" i="1"/>
  <c r="CB66" i="1"/>
  <c r="BX67" i="1"/>
  <c r="CJ37" i="1"/>
  <c r="CI105" i="1"/>
  <c r="BO111" i="1"/>
  <c r="BW111" i="1"/>
  <c r="CI115" i="1"/>
  <c r="CF21" i="1"/>
  <c r="CK116" i="1"/>
  <c r="BX120" i="1"/>
  <c r="BP120" i="1"/>
  <c r="AL127" i="1"/>
  <c r="U127" i="1"/>
  <c r="CJ63" i="1"/>
  <c r="CK51" i="1"/>
  <c r="BX125" i="1"/>
  <c r="CJ96" i="1"/>
  <c r="BM67" i="1"/>
  <c r="BR120" i="1"/>
  <c r="CD100" i="1"/>
  <c r="BN111" i="1"/>
  <c r="BV111" i="1"/>
  <c r="P126" i="1"/>
  <c r="P127" i="1"/>
  <c r="CB67" i="1"/>
  <c r="CA67" i="1"/>
  <c r="CF105" i="1"/>
  <c r="BS111" i="1"/>
  <c r="BN112" i="1"/>
  <c r="BV112" i="1"/>
  <c r="BO125" i="1"/>
  <c r="CJ125" i="1" s="1"/>
  <c r="BW125" i="1"/>
  <c r="AD127" i="1"/>
  <c r="BR125" i="1"/>
  <c r="CF116" i="1"/>
  <c r="BL120" i="1"/>
  <c r="CH120" i="1" s="1"/>
  <c r="BT120" i="1"/>
  <c r="AF127" i="1"/>
  <c r="CI60" i="1"/>
  <c r="BM112" i="1"/>
  <c r="CH112" i="1" s="1"/>
  <c r="BU112" i="1"/>
  <c r="BR111" i="1"/>
  <c r="CJ36" i="1"/>
  <c r="BT67" i="1"/>
  <c r="BL67" i="1"/>
  <c r="BX112" i="1"/>
  <c r="CF112" i="1" s="1"/>
  <c r="BP112" i="1"/>
  <c r="BY112" i="1"/>
  <c r="AV126" i="1"/>
  <c r="AV127" i="1"/>
  <c r="BL124" i="1"/>
  <c r="BT124" i="1"/>
  <c r="AM126" i="1"/>
  <c r="CI51" i="1"/>
  <c r="BU66" i="1"/>
  <c r="CK82" i="1"/>
  <c r="AP127" i="1"/>
  <c r="CI21" i="1"/>
  <c r="CJ107" i="1"/>
  <c r="CI64" i="1"/>
  <c r="BA127" i="1"/>
  <c r="R127" i="1"/>
  <c r="CJ52" i="1"/>
  <c r="CF51" i="1"/>
  <c r="CA105" i="1"/>
  <c r="CC105" i="1"/>
  <c r="CB105" i="1"/>
  <c r="CI81" i="1"/>
  <c r="CH104" i="1"/>
  <c r="BY66" i="1"/>
  <c r="BS112" i="1"/>
  <c r="CB120" i="1"/>
  <c r="CA120" i="1"/>
  <c r="CJ65" i="1"/>
  <c r="BS123" i="1"/>
  <c r="BD127" i="1"/>
  <c r="BO123" i="1"/>
  <c r="CF96" i="1"/>
  <c r="AY126" i="1"/>
  <c r="CI37" i="1"/>
  <c r="AQ126" i="1"/>
  <c r="BS120" i="1"/>
  <c r="CD120" i="1" s="1"/>
  <c r="CB123" i="1"/>
  <c r="CA123" i="1"/>
  <c r="BE127" i="1"/>
  <c r="CH105" i="1"/>
  <c r="CB125" i="1"/>
  <c r="CA125" i="1"/>
  <c r="CC112" i="1"/>
  <c r="CB112" i="1"/>
  <c r="CA112" i="1"/>
  <c r="AI127" i="1"/>
  <c r="CK65" i="1"/>
  <c r="AS127" i="1"/>
  <c r="CJ97" i="1"/>
  <c r="AN127" i="1"/>
  <c r="AN126" i="1"/>
  <c r="BX111" i="1"/>
  <c r="BP111" i="1"/>
  <c r="BO120" i="1"/>
  <c r="BW120" i="1"/>
  <c r="BU111" i="1"/>
  <c r="BM111" i="1"/>
  <c r="CH111" i="1" s="1"/>
  <c r="CA124" i="1"/>
  <c r="CB124" i="1"/>
  <c r="BV123" i="1"/>
  <c r="BN123" i="1"/>
  <c r="CI102" i="1"/>
  <c r="CJ102" i="1"/>
  <c r="BN120" i="1"/>
  <c r="CI120" i="1" s="1"/>
  <c r="BV120" i="1"/>
  <c r="BV124" i="1"/>
  <c r="BN124" i="1"/>
  <c r="CD81" i="1"/>
  <c r="CK119" i="1"/>
  <c r="BY67" i="1"/>
  <c r="CC67" i="1" s="1"/>
  <c r="CH60" i="1"/>
  <c r="AU126" i="1"/>
  <c r="BN66" i="1"/>
  <c r="CI66" i="1" s="1"/>
  <c r="BV66" i="1"/>
  <c r="BS124" i="1"/>
  <c r="CD124" i="1" s="1"/>
  <c r="BW123" i="1"/>
  <c r="CD22" i="1"/>
  <c r="O127" i="1"/>
  <c r="CJ122" i="1"/>
  <c r="CD60" i="1"/>
  <c r="CF37" i="1"/>
  <c r="CJ82" i="1"/>
  <c r="BO124" i="1"/>
  <c r="CJ124" i="1" s="1"/>
  <c r="CF60" i="1"/>
  <c r="CF107" i="1"/>
  <c r="CJ116" i="1"/>
  <c r="BT125" i="1"/>
  <c r="BL125" i="1"/>
  <c r="CH125" i="1" s="1"/>
  <c r="CF118" i="1"/>
  <c r="BL66" i="1"/>
  <c r="BT66" i="1"/>
  <c r="CJ118" i="1"/>
  <c r="AR126" i="1"/>
  <c r="AR127" i="1"/>
  <c r="BY120" i="1"/>
  <c r="CC120" i="1" s="1"/>
  <c r="AE127" i="1"/>
  <c r="BY124" i="1"/>
  <c r="CF102" i="1"/>
  <c r="CD105" i="1" l="1"/>
  <c r="CI112" i="1"/>
  <c r="CI111" i="1"/>
  <c r="CA126" i="1"/>
  <c r="CD111" i="1"/>
  <c r="CD67" i="1"/>
  <c r="CJ67" i="1"/>
  <c r="CH66" i="1"/>
  <c r="BW127" i="1"/>
  <c r="BR126" i="1"/>
  <c r="CH123" i="1"/>
  <c r="CF124" i="1"/>
  <c r="CD123" i="1"/>
  <c r="BL127" i="1"/>
  <c r="CF66" i="1"/>
  <c r="BP126" i="1"/>
  <c r="BS126" i="1"/>
  <c r="CJ123" i="1"/>
  <c r="CD125" i="1"/>
  <c r="CH124" i="1"/>
  <c r="CC124" i="1"/>
  <c r="CI123" i="1"/>
  <c r="CK120" i="1"/>
  <c r="CF123" i="1"/>
  <c r="CF111" i="1"/>
  <c r="CF67" i="1"/>
  <c r="BT127" i="1"/>
  <c r="BP127" i="1"/>
  <c r="BX126" i="1"/>
  <c r="CF125" i="1"/>
  <c r="BR127" i="1"/>
  <c r="CJ66" i="1"/>
  <c r="CC66" i="1"/>
  <c r="BT126" i="1"/>
  <c r="BL126" i="1"/>
  <c r="BN126" i="1"/>
  <c r="BV126" i="1"/>
  <c r="BY126" i="1"/>
  <c r="CC126" i="1" s="1"/>
  <c r="CH67" i="1"/>
  <c r="CF120" i="1"/>
  <c r="CK66" i="1"/>
  <c r="BN127" i="1"/>
  <c r="BM126" i="1"/>
  <c r="CH126" i="1" s="1"/>
  <c r="BU126" i="1"/>
  <c r="CD112" i="1"/>
  <c r="BS127" i="1"/>
  <c r="CK111" i="1"/>
  <c r="BY127" i="1"/>
  <c r="CC127" i="1" s="1"/>
  <c r="CA127" i="1"/>
  <c r="CB127" i="1"/>
  <c r="BO126" i="1"/>
  <c r="BW126" i="1"/>
  <c r="BX127" i="1"/>
  <c r="BO127" i="1"/>
  <c r="CK123" i="1"/>
  <c r="CJ111" i="1"/>
  <c r="BM127" i="1"/>
  <c r="BU127" i="1"/>
  <c r="BV127" i="1"/>
  <c r="CJ120" i="1"/>
  <c r="CJ112" i="1"/>
  <c r="CI124" i="1"/>
  <c r="CK112" i="1"/>
  <c r="CK124" i="1"/>
  <c r="CI67" i="1"/>
  <c r="CK125" i="1"/>
  <c r="CH127" i="1" l="1"/>
  <c r="CD126" i="1"/>
  <c r="CI127" i="1"/>
  <c r="CD127" i="1"/>
  <c r="CJ126" i="1"/>
  <c r="CF127" i="1"/>
  <c r="CF126" i="1"/>
  <c r="CK126" i="1"/>
  <c r="CI126" i="1"/>
  <c r="CJ127" i="1"/>
  <c r="CK127" i="1"/>
</calcChain>
</file>

<file path=xl/comments1.xml><?xml version="1.0" encoding="utf-8"?>
<comments xmlns="http://schemas.openxmlformats.org/spreadsheetml/2006/main">
  <authors>
    <author>Kaimon Chung</author>
    <author>kmurray</author>
    <author>kchung</author>
    <author>Author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U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V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W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AA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U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W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X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Y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Z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AA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O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Q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R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S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T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U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W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X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Y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Z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A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B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C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D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E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F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G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H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I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J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K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L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S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T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U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V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W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X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Y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Z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Q70" authorId="1" shapeId="0">
      <text>
        <r>
          <rPr>
            <b/>
            <sz val="8"/>
            <color indexed="81"/>
            <rFont val="Tahoma"/>
            <family val="2"/>
          </rPr>
          <t>kmurray:</t>
        </r>
        <r>
          <rPr>
            <sz val="8"/>
            <color indexed="81"/>
            <rFont val="Tahoma"/>
            <family val="2"/>
          </rPr>
          <t xml:space="preserve">
Viniar side "little more than 50% of $224mm DVA in FICC"</t>
        </r>
      </text>
    </comment>
    <comment ref="AR70" authorId="2" shapeId="0">
      <text>
        <r>
          <rPr>
            <b/>
            <sz val="8"/>
            <color indexed="81"/>
            <rFont val="Tahoma"/>
            <family val="2"/>
          </rPr>
          <t>kchung:</t>
        </r>
        <r>
          <rPr>
            <sz val="8"/>
            <color indexed="81"/>
            <rFont val="Tahoma"/>
            <family val="2"/>
          </rPr>
          <t xml:space="preserve">
Total DVA was less $10M. We assume 50/50 split between FICC and equities.</t>
        </r>
      </text>
    </comment>
    <comment ref="AX70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$211M gain on sale of European insurance business.</t>
        </r>
      </text>
    </comment>
    <comment ref="BA70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$37M DVA gain and $157M gain on extinguishment of debt</t>
        </r>
      </text>
    </comment>
    <comment ref="AQ71" authorId="2" shapeId="0">
      <text>
        <r>
          <rPr>
            <b/>
            <sz val="8"/>
            <color indexed="81"/>
            <rFont val="Tahoma"/>
            <family val="2"/>
          </rPr>
          <t>kchung:</t>
        </r>
        <r>
          <rPr>
            <sz val="8"/>
            <color indexed="81"/>
            <rFont val="Tahoma"/>
            <family val="2"/>
          </rPr>
          <t xml:space="preserve">
Strong commodities revenue +30% y/y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P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Q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R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S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U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W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X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Y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Z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A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B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C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D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S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T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U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V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W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X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Y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Z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T85" authorId="3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Excludes $494M gain on sale of administration business to STT.</t>
        </r>
      </text>
    </comment>
    <comment ref="BA85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$29M DVA gain and $85M gain on extinguishment of debt</t>
        </r>
      </text>
    </comment>
    <comment ref="O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D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Equity markets only.  Does not include Security Services.</t>
        </r>
      </text>
    </comment>
    <comment ref="AS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T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U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V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W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X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Y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Z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T115" authorId="3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Excludes $500M gain on sale of administration business to STT.</t>
        </r>
      </text>
    </comment>
  </commentList>
</comments>
</file>

<file path=xl/sharedStrings.xml><?xml version="1.0" encoding="utf-8"?>
<sst xmlns="http://schemas.openxmlformats.org/spreadsheetml/2006/main" count="549" uniqueCount="125">
  <si>
    <t>Investment Bank Revenue Comparisons</t>
  </si>
  <si>
    <t>Column ID</t>
  </si>
  <si>
    <t>For the fiscal quarter</t>
  </si>
  <si>
    <t>Fiscal Year</t>
  </si>
  <si>
    <t>LTM</t>
  </si>
  <si>
    <t>Quarter Average</t>
  </si>
  <si>
    <t>1Q10-2Q15</t>
  </si>
  <si>
    <t>Change for 3Q15</t>
  </si>
  <si>
    <t>2015 Vs. 2-Yr.</t>
  </si>
  <si>
    <t>Annual Change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</si>
  <si>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</si>
  <si>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</si>
  <si>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</si>
  <si>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</si>
  <si>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</si>
  <si>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</si>
  <si>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</si>
  <si>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</si>
  <si>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</si>
  <si>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</si>
  <si>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</si>
  <si>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</si>
  <si>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</si>
  <si>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</si>
  <si>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</si>
  <si>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</si>
  <si>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</si>
  <si>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</si>
  <si>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</si>
  <si>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</si>
  <si>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</si>
  <si>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</si>
  <si>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</si>
  <si>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</si>
  <si>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</si>
  <si>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</si>
  <si>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</si>
  <si>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</si>
  <si>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</si>
  <si>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</si>
  <si>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</si>
  <si>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</si>
  <si>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</si>
  <si>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</si>
  <si>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</si>
  <si>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</si>
  <si>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</si>
  <si>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</si>
  <si>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</si>
  <si>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</si>
  <si>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</si>
  <si>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</si>
  <si>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</si>
  <si>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</si>
  <si>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</si>
  <si>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</si>
  <si>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</si>
  <si>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</si>
  <si>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3Q14</t>
  </si>
  <si>
    <t>3Q15</t>
  </si>
  <si>
    <t>Qtrly Avg</t>
  </si>
  <si>
    <t>Q/Q</t>
  </si>
  <si>
    <t>Y/Y</t>
  </si>
  <si>
    <t>Qtr. Avg.</t>
  </si>
  <si>
    <t>Qtr Avg</t>
  </si>
  <si>
    <t>Advisory Revenue (US$ M)</t>
  </si>
  <si>
    <t>Goldman Sachs</t>
  </si>
  <si>
    <t>Morgan Stanley</t>
  </si>
  <si>
    <t>Bank of America</t>
  </si>
  <si>
    <t>Citigroup</t>
  </si>
  <si>
    <t>JPMorgan</t>
  </si>
  <si>
    <t>Barclays</t>
  </si>
  <si>
    <t>NA</t>
  </si>
  <si>
    <t>Credit Suisse</t>
  </si>
  <si>
    <t>Deutsche Bank</t>
  </si>
  <si>
    <t>UBS</t>
  </si>
  <si>
    <t>Non-U.S. Peer Average</t>
  </si>
  <si>
    <t>Total Peer Average</t>
  </si>
  <si>
    <t>Equity Underwriting Revenue (US$ M)</t>
  </si>
  <si>
    <t>Debt Underwriting Revenue (US$ M)</t>
  </si>
  <si>
    <t>Advisory &amp; Underwriting (US$ M)</t>
  </si>
  <si>
    <t>Adjusted FICC Trading Revenue (US$ M)</t>
  </si>
  <si>
    <t>Adjusted Equity Trading Revenue (US$ M)</t>
  </si>
  <si>
    <t>Total Trading (US$ M)</t>
  </si>
  <si>
    <t>Total Capital Markets (US$ M)</t>
  </si>
  <si>
    <t>For the Fiscal Quarter Ending Q3 2015</t>
  </si>
  <si>
    <t>Bank of America Corporation</t>
  </si>
  <si>
    <t>BAC</t>
  </si>
  <si>
    <t>Citigroup Inc.</t>
  </si>
  <si>
    <t>C</t>
  </si>
  <si>
    <t>Goldman Sachs Group, Inc.</t>
  </si>
  <si>
    <t>GS</t>
  </si>
  <si>
    <t>JPMorgan Chase &amp; Co.</t>
  </si>
  <si>
    <t>JPM</t>
  </si>
  <si>
    <t>MS</t>
  </si>
  <si>
    <t>2006Y</t>
  </si>
  <si>
    <t>2007Y</t>
  </si>
  <si>
    <t>2008Y</t>
  </si>
  <si>
    <t>2009Y</t>
  </si>
  <si>
    <t>2010Y</t>
  </si>
  <si>
    <t>2011Y</t>
  </si>
  <si>
    <t>2012Y</t>
  </si>
  <si>
    <t>2013Y</t>
  </si>
  <si>
    <t>2014Y</t>
  </si>
  <si>
    <t>YTD</t>
  </si>
  <si>
    <t>MRQ</t>
  </si>
  <si>
    <t>Total</t>
  </si>
  <si>
    <t>Select Financial Data</t>
  </si>
  <si>
    <t>Source: SNL Financial, Evercore ISI</t>
  </si>
  <si>
    <t>Date of Data Run:</t>
  </si>
  <si>
    <t>Simple Average</t>
  </si>
  <si>
    <t xml:space="preserve">Institution Name </t>
  </si>
  <si>
    <t xml:space="preserve">SNL Institution Key </t>
  </si>
  <si>
    <t xml:space="preserve">Ticker </t>
  </si>
  <si>
    <t>Total Assets / Total Equity</t>
  </si>
  <si>
    <t>2015YTD</t>
  </si>
  <si>
    <t>Total Assets</t>
  </si>
  <si>
    <t>Total Equity</t>
  </si>
  <si>
    <t>Assets/Equity</t>
  </si>
  <si>
    <t>Average</t>
  </si>
  <si>
    <t>Return on Common Equity (ROE)</t>
  </si>
  <si>
    <t>FICC Trading Rev as % of Total</t>
  </si>
  <si>
    <t>Total Firm Revenue</t>
  </si>
  <si>
    <t>Average Based on Total Revenues</t>
  </si>
  <si>
    <t>Overall Trading Rev as 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</si>
</sst>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00"/>
    <numFmt numFmtId="166" formatCode="#,##0\ ;\(#,##0\)"/>
    <numFmt numFmtId="167" formatCode="#,##0.0_);[Red]\(#,##0.0\)"/>
    <numFmt numFmtId="168" formatCode="0&quot;bp&quot;"/>
    <numFmt numFmtId="169" formatCode="0.0%;\(0.0%\)"/>
    <numFmt numFmtId="170" formatCode="#,##0.0"/>
    <numFmt numFmtId="171" formatCode="#,##0.0;[Red]\(#,##0.0\)"/>
    <numFmt numFmtId="172" formatCode="0.00_);\(0.00\);0.00"/>
    <numFmt numFmtId="173" formatCode="&quot;$&quot;#,##0.0;[Red]\(&quot;$&quot;#,##0.0\)"/>
    <numFmt numFmtId="174" formatCode="mmm\-d\-yy"/>
    <numFmt numFmtId="175" formatCode="mmm\-d\-yyyy"/>
    <numFmt numFmtId="176" formatCode="yyyy"/>
    <numFmt numFmtId="177" formatCode="_([$€-2]* #,##0.00_);_([$€-2]* \(#,##0.00\);_([$€-2]* &quot;-&quot;??_)"/>
    <numFmt numFmtId="178" formatCode="###0_);\(###0\)"/>
    <numFmt numFmtId="179" formatCode="0.00%_);[Red]\(0.00%\)"/>
    <numFmt numFmtId="180" formatCode="0.00%;\(0.00%\)"/>
    <numFmt numFmtId="181" formatCode="#,##0.000%_);[Red]\(#,##0.000%\)"/>
    <numFmt numFmtId="182" formatCode="0.0%;[Red]\(0.0%\)"/>
    <numFmt numFmtId="183" formatCode="0.00_);\(0.00\);0.00_)"/>
    <numFmt numFmtId="184" formatCode="_ * #,##0_)\ _P_t_s_ ;_ * \(#,##0\)\ _P_t_s_ ;_ * &quot;-&quot;_)\ _P_t_s_ ;_ @_ "/>
    <numFmt numFmtId="185" formatCode="_ * #,##0.00_)\ _P_t_s_ ;_ * \(#,##0.00\)\ _P_t_s_ ;_ * &quot;-&quot;??_)\ _P_t_s_ ;_ @_ "/>
    <numFmt numFmtId="186" formatCode="_ * #,##0_)\ &quot;Pts&quot;_ ;_ * \(#,##0\)\ &quot;Pts&quot;_ ;_ * &quot;-&quot;_)\ &quot;Pts&quot;_ ;_ @_ "/>
    <numFmt numFmtId="187" formatCode="_ * #,##0.00_)\ &quot;Pts&quot;_ ;_ * \(#,##0.00\)\ &quot;Pts&quot;_ ;_ * &quot;-&quot;??_)\ &quot;Pts&quot;_ ;_ @_ "/>
    <numFmt numFmtId="188" formatCode="#,##0.00\x_);[Red]\(#,##0.00\x\)"/>
    <numFmt numFmtId="189" formatCode="#,##0.0_);[Red]\(#,##0.0\);&quot;N/A &quot;"/>
    <numFmt numFmtId="190" formatCode="0.00_)"/>
    <numFmt numFmtId="191" formatCode="#,##0.000_);[Red]\(#,##0.000\)"/>
    <numFmt numFmtId="192" formatCode="#,##0.0_)\ \ ;[Red]\(#,##0.0\)\ \ "/>
    <numFmt numFmtId="193" formatCode="0.0%&quot;NetPPE/sales&quot;"/>
    <numFmt numFmtId="194" formatCode="0.0%&quot;NWI/Sls&quot;"/>
    <numFmt numFmtId="195" formatCode="0.0%_);\(0.0%\)"/>
    <numFmt numFmtId="196" formatCode="0.00%_);\(0.00%\)"/>
    <numFmt numFmtId="197" formatCode="0.0%"/>
    <numFmt numFmtId="198" formatCode="0%;[Red]\(0%\)"/>
    <numFmt numFmtId="199" formatCode="0.00\%;\-0.00\%;0.00\%"/>
    <numFmt numFmtId="200" formatCode="0.0%_);[Red]\(0.0%\)"/>
    <numFmt numFmtId="201" formatCode="0.0%&quot;Sales&quot;"/>
    <numFmt numFmtId="202" formatCode="0.00\x;\-0.00\x;0.00\x"/>
    <numFmt numFmtId="203" formatCode="##0.00000"/>
    <numFmt numFmtId="204" formatCode="0.0000"/>
    <numFmt numFmtId="205" formatCode="0.0"/>
    <numFmt numFmtId="206" formatCode="#,##0;\(#,##0\)"/>
    <numFmt numFmtId="207" formatCode="&quot;TFCF: &quot;#,##0_);[Red]&quot;No! &quot;\(#,##0\)"/>
    <numFmt numFmtId="208" formatCode="0.0\x"/>
  </numFmts>
  <fonts count="9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128"/>
      <scheme val="minor"/>
    </font>
    <font>
      <sz val="11"/>
      <color rgb="FF0000FF"/>
      <name val="Calibri"/>
      <family val="2"/>
      <charset val="12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128"/>
      <scheme val="minor"/>
    </font>
    <font>
      <sz val="11"/>
      <color rgb="FF00B050"/>
      <name val="Calibri"/>
      <family val="2"/>
      <charset val="128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indexed="8"/>
      <name val="Helv"/>
    </font>
    <font>
      <sz val="11"/>
      <color theme="0"/>
      <name val="Arial"/>
      <family val="2"/>
    </font>
    <font>
      <sz val="10"/>
      <name val="Palatino"/>
      <family val="1"/>
    </font>
    <font>
      <sz val="11"/>
      <color rgb="FF9C0006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1"/>
      <color rgb="FFFA7D00"/>
      <name val="Arial"/>
      <family val="2"/>
    </font>
    <font>
      <b/>
      <sz val="8"/>
      <name val="Times New Roman"/>
      <family val="1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sz val="12"/>
      <color indexed="8"/>
      <name val="Verdana"/>
      <family val="2"/>
    </font>
    <font>
      <sz val="10"/>
      <name val="MS Sans Serif"/>
      <family val="2"/>
    </font>
    <font>
      <sz val="24"/>
      <name val="MS Sans Serif"/>
      <family val="2"/>
    </font>
    <font>
      <sz val="12"/>
      <name val="TimesNewRomanPS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i/>
      <sz val="11"/>
      <color rgb="FF7F7F7F"/>
      <name val="Arial"/>
      <family val="2"/>
    </font>
    <font>
      <sz val="9"/>
      <name val="GillSans Light"/>
    </font>
    <font>
      <sz val="11"/>
      <color rgb="FF006100"/>
      <name val="Arial"/>
      <family val="2"/>
    </font>
    <font>
      <sz val="8"/>
      <color indexed="17"/>
      <name val="Times New Roman"/>
      <family val="1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128"/>
    </font>
    <font>
      <sz val="11"/>
      <color rgb="FF3F3F76"/>
      <name val="Arial"/>
      <family val="2"/>
    </font>
    <font>
      <sz val="8"/>
      <color indexed="39"/>
      <name val="Arial"/>
      <family val="2"/>
    </font>
    <font>
      <b/>
      <sz val="10"/>
      <name val="Arial"/>
      <family val="2"/>
    </font>
    <font>
      <sz val="11"/>
      <color rgb="FFFA7D00"/>
      <name val="Arial"/>
      <family val="2"/>
    </font>
    <font>
      <sz val="8"/>
      <color indexed="18"/>
      <name val="Times New Roman"/>
      <family val="1"/>
    </font>
    <font>
      <sz val="10"/>
      <name val="Univers (WN)"/>
    </font>
    <font>
      <sz val="11"/>
      <color rgb="FF9C6500"/>
      <name val="Arial"/>
      <family val="2"/>
    </font>
    <font>
      <b/>
      <sz val="8"/>
      <color indexed="9"/>
      <name val="Arial"/>
      <family val="2"/>
    </font>
    <font>
      <b/>
      <sz val="8"/>
      <color rgb="FFFFFFFF"/>
      <name val="Calibri"/>
      <family val="2"/>
      <scheme val="minor"/>
    </font>
    <font>
      <b/>
      <i/>
      <sz val="16"/>
      <name val="Helv"/>
    </font>
    <font>
      <b/>
      <sz val="11"/>
      <color rgb="FF3F3F3F"/>
      <name val="Arial"/>
      <family val="2"/>
    </font>
    <font>
      <b/>
      <sz val="8"/>
      <color indexed="18"/>
      <name val="Times New Roman"/>
      <family val="1"/>
    </font>
    <font>
      <sz val="8"/>
      <color indexed="10"/>
      <name val="Arial"/>
      <family val="2"/>
    </font>
    <font>
      <sz val="10"/>
      <color indexed="23"/>
      <name val="Arial"/>
      <family val="2"/>
    </font>
    <font>
      <b/>
      <sz val="12"/>
      <name val="MS Sans Serif"/>
      <family val="2"/>
    </font>
    <font>
      <sz val="11"/>
      <name val="Helv"/>
    </font>
    <font>
      <sz val="10"/>
      <name val="Times New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name val="GillSans"/>
    </font>
    <font>
      <sz val="10"/>
      <name val="Univers (W1)"/>
    </font>
    <font>
      <sz val="7"/>
      <name val="Arial"/>
      <family val="2"/>
    </font>
    <font>
      <b/>
      <sz val="10"/>
      <color indexed="16"/>
      <name val="Times New Roman"/>
      <family val="1"/>
    </font>
    <font>
      <b/>
      <sz val="11"/>
      <color theme="1"/>
      <name val="Arial"/>
      <family val="2"/>
    </font>
    <font>
      <u/>
      <sz val="10"/>
      <name val="Helv"/>
    </font>
    <font>
      <sz val="10"/>
      <name val="Geneva"/>
    </font>
    <font>
      <sz val="11"/>
      <color rgb="FFFF0000"/>
      <name val="Arial"/>
      <family val="2"/>
    </font>
    <font>
      <sz val="8"/>
      <color indexed="9"/>
      <name val="Arial"/>
      <family val="2"/>
    </font>
    <font>
      <b/>
      <sz val="18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80A1B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8"/>
      </patternFill>
    </fill>
    <fill>
      <patternFill patternType="solid">
        <fgColor rgb="FF00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64"/>
      </bottom>
      <diagonal/>
    </border>
  </borders>
  <cellStyleXfs count="395">
    <xf numFmtId="0" fontId="0" fillId="0" borderId="0">
      <alignment vertical="center"/>
    </xf>
    <xf numFmtId="9" fontId="17" fillId="0" borderId="0" applyFont="0" applyFill="0" applyBorder="0" applyAlignment="0" applyProtection="0"/>
    <xf numFmtId="0" fontId="32" fillId="0" borderId="0" applyNumberFormat="0" applyFont="0" applyFill="0" applyBorder="0" applyAlignment="0" applyProtection="0"/>
    <xf numFmtId="164" fontId="33" fillId="0" borderId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2" fontId="35" fillId="0" borderId="0"/>
    <xf numFmtId="165" fontId="35" fillId="0" borderId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36" fillId="12" borderId="0" applyNumberFormat="0" applyBorder="0" applyAlignment="0" applyProtection="0"/>
    <xf numFmtId="0" fontId="16" fillId="16" borderId="0" applyNumberFormat="0" applyBorder="0" applyAlignment="0" applyProtection="0"/>
    <xf numFmtId="0" fontId="36" fillId="16" borderId="0" applyNumberFormat="0" applyBorder="0" applyAlignment="0" applyProtection="0"/>
    <xf numFmtId="0" fontId="16" fillId="20" borderId="0" applyNumberFormat="0" applyBorder="0" applyAlignment="0" applyProtection="0"/>
    <xf numFmtId="0" fontId="36" fillId="20" borderId="0" applyNumberFormat="0" applyBorder="0" applyAlignment="0" applyProtection="0"/>
    <xf numFmtId="0" fontId="16" fillId="24" borderId="0" applyNumberFormat="0" applyBorder="0" applyAlignment="0" applyProtection="0"/>
    <xf numFmtId="0" fontId="36" fillId="24" borderId="0" applyNumberFormat="0" applyBorder="0" applyAlignment="0" applyProtection="0"/>
    <xf numFmtId="0" fontId="16" fillId="28" borderId="0" applyNumberFormat="0" applyBorder="0" applyAlignment="0" applyProtection="0"/>
    <xf numFmtId="0" fontId="36" fillId="28" borderId="0" applyNumberFormat="0" applyBorder="0" applyAlignment="0" applyProtection="0"/>
    <xf numFmtId="0" fontId="16" fillId="32" borderId="0" applyNumberFormat="0" applyBorder="0" applyAlignment="0" applyProtection="0"/>
    <xf numFmtId="0" fontId="36" fillId="32" borderId="0" applyNumberFormat="0" applyBorder="0" applyAlignment="0" applyProtection="0"/>
    <xf numFmtId="166" fontId="37" fillId="0" borderId="0"/>
    <xf numFmtId="0" fontId="16" fillId="9" borderId="0" applyNumberFormat="0" applyBorder="0" applyAlignment="0" applyProtection="0"/>
    <xf numFmtId="0" fontId="36" fillId="9" borderId="0" applyNumberFormat="0" applyBorder="0" applyAlignment="0" applyProtection="0"/>
    <xf numFmtId="0" fontId="16" fillId="13" borderId="0" applyNumberFormat="0" applyBorder="0" applyAlignment="0" applyProtection="0"/>
    <xf numFmtId="0" fontId="36" fillId="13" borderId="0" applyNumberFormat="0" applyBorder="0" applyAlignment="0" applyProtection="0"/>
    <xf numFmtId="0" fontId="16" fillId="17" borderId="0" applyNumberFormat="0" applyBorder="0" applyAlignment="0" applyProtection="0"/>
    <xf numFmtId="0" fontId="36" fillId="17" borderId="0" applyNumberFormat="0" applyBorder="0" applyAlignment="0" applyProtection="0"/>
    <xf numFmtId="0" fontId="16" fillId="21" borderId="0" applyNumberFormat="0" applyBorder="0" applyAlignment="0" applyProtection="0"/>
    <xf numFmtId="0" fontId="36" fillId="21" borderId="0" applyNumberFormat="0" applyBorder="0" applyAlignment="0" applyProtection="0"/>
    <xf numFmtId="0" fontId="16" fillId="25" borderId="0" applyNumberFormat="0" applyBorder="0" applyAlignment="0" applyProtection="0"/>
    <xf numFmtId="0" fontId="3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29" borderId="0" applyNumberFormat="0" applyBorder="0" applyAlignment="0" applyProtection="0"/>
    <xf numFmtId="0" fontId="6" fillId="3" borderId="0" applyNumberFormat="0" applyBorder="0" applyAlignment="0" applyProtection="0"/>
    <xf numFmtId="0" fontId="38" fillId="3" borderId="0" applyNumberFormat="0" applyBorder="0" applyAlignment="0" applyProtection="0"/>
    <xf numFmtId="167" fontId="39" fillId="0" borderId="0" applyFont="0" applyFill="0" applyBorder="0" applyAlignment="0" applyProtection="0"/>
    <xf numFmtId="168" fontId="40" fillId="0" borderId="0" applyFill="0" applyBorder="0" applyAlignment="0" applyProtection="0">
      <alignment horizontal="right"/>
      <protection locked="0"/>
    </xf>
    <xf numFmtId="169" fontId="33" fillId="0" borderId="0" applyNumberFormat="0" applyFont="0" applyAlignment="0"/>
    <xf numFmtId="0" fontId="10" fillId="6" borderId="4" applyNumberFormat="0" applyAlignment="0" applyProtection="0"/>
    <xf numFmtId="0" fontId="41" fillId="6" borderId="4" applyNumberFormat="0" applyAlignment="0" applyProtection="0"/>
    <xf numFmtId="167" fontId="42" fillId="0" borderId="0" applyFont="0" applyFill="0" applyBorder="0" applyAlignment="0" applyProtection="0"/>
    <xf numFmtId="0" fontId="12" fillId="7" borderId="7" applyNumberFormat="0" applyAlignment="0" applyProtection="0"/>
    <xf numFmtId="0" fontId="43" fillId="7" borderId="7" applyNumberFormat="0" applyAlignment="0" applyProtection="0"/>
    <xf numFmtId="170" fontId="44" fillId="36" borderId="15">
      <alignment horizontal="right" vertical="center" indent="1"/>
    </xf>
    <xf numFmtId="170" fontId="45" fillId="36" borderId="15">
      <alignment horizontal="right" vertical="center" indent="1"/>
    </xf>
    <xf numFmtId="0" fontId="44" fillId="36" borderId="15">
      <alignment horizontal="left" vertical="center" indent="1"/>
    </xf>
    <xf numFmtId="0" fontId="40" fillId="37" borderId="16">
      <alignment vertical="center"/>
    </xf>
    <xf numFmtId="0" fontId="46" fillId="37" borderId="15">
      <alignment horizontal="center" vertical="center"/>
    </xf>
    <xf numFmtId="0" fontId="47" fillId="36" borderId="15">
      <alignment horizontal="center" vertical="center"/>
    </xf>
    <xf numFmtId="0" fontId="47" fillId="38" borderId="15">
      <alignment horizontal="center" vertical="center"/>
    </xf>
    <xf numFmtId="170" fontId="44" fillId="37" borderId="15">
      <alignment horizontal="right" vertical="center" indent="1"/>
    </xf>
    <xf numFmtId="0" fontId="40" fillId="37" borderId="0">
      <alignment vertical="center"/>
    </xf>
    <xf numFmtId="0" fontId="48" fillId="37" borderId="17">
      <alignment horizontal="left" vertical="center" indent="1"/>
    </xf>
    <xf numFmtId="0" fontId="47" fillId="37" borderId="18">
      <alignment horizontal="left" vertical="center" indent="1"/>
    </xf>
    <xf numFmtId="0" fontId="48" fillId="37" borderId="15">
      <alignment horizontal="left" vertical="center" indent="1"/>
    </xf>
    <xf numFmtId="170" fontId="45" fillId="37" borderId="15">
      <alignment horizontal="right" vertical="center" indent="1"/>
    </xf>
    <xf numFmtId="0" fontId="48" fillId="37" borderId="16">
      <alignment vertical="center"/>
    </xf>
    <xf numFmtId="0" fontId="49" fillId="39" borderId="15">
      <alignment horizontal="left" vertical="center" indent="1"/>
    </xf>
    <xf numFmtId="0" fontId="49" fillId="39" borderId="15">
      <alignment horizontal="left" vertical="center" indent="1"/>
    </xf>
    <xf numFmtId="0" fontId="44" fillId="37" borderId="15">
      <alignment horizontal="left" vertical="center" indent="1"/>
    </xf>
    <xf numFmtId="0" fontId="50" fillId="37" borderId="15">
      <alignment horizontal="left" vertical="center" wrapText="1" indent="1"/>
    </xf>
    <xf numFmtId="0" fontId="48" fillId="37" borderId="16">
      <alignment vertical="center"/>
    </xf>
    <xf numFmtId="0" fontId="46" fillId="40" borderId="15">
      <alignment horizontal="left" vertical="center" indent="1"/>
    </xf>
    <xf numFmtId="0" fontId="51" fillId="0" borderId="0">
      <alignment horizontal="center" wrapText="1"/>
      <protection hidden="1"/>
    </xf>
    <xf numFmtId="171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/>
    <xf numFmtId="0" fontId="52" fillId="41" borderId="0">
      <alignment horizontal="center" vertical="center" wrapText="1"/>
    </xf>
    <xf numFmtId="172" fontId="40" fillId="0" borderId="0" applyFill="0" applyBorder="0">
      <alignment horizontal="right"/>
      <protection locked="0"/>
    </xf>
    <xf numFmtId="173" fontId="39" fillId="0" borderId="0"/>
    <xf numFmtId="173" fontId="39" fillId="0" borderId="0"/>
    <xf numFmtId="8" fontId="40" fillId="0" borderId="0" applyFont="0" applyFill="0" applyBorder="0" applyAlignment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4" fontId="53" fillId="0" borderId="0"/>
    <xf numFmtId="15" fontId="54" fillId="0" borderId="0" applyFill="0" applyBorder="0" applyAlignment="0"/>
    <xf numFmtId="174" fontId="54" fillId="42" borderId="0" applyFont="0" applyFill="0" applyBorder="0" applyAlignment="0" applyProtection="0"/>
    <xf numFmtId="175" fontId="55" fillId="42" borderId="19" applyFont="0" applyFill="0" applyBorder="0" applyAlignment="0" applyProtection="0"/>
    <xf numFmtId="174" fontId="33" fillId="42" borderId="0" applyFont="0" applyFill="0" applyBorder="0" applyAlignment="0" applyProtection="0"/>
    <xf numFmtId="17" fontId="54" fillId="0" borderId="0" applyFill="0" applyBorder="0">
      <alignment horizontal="right"/>
    </xf>
    <xf numFmtId="14" fontId="54" fillId="43" borderId="20" applyFill="0" applyBorder="0">
      <alignment horizontal="right"/>
    </xf>
    <xf numFmtId="175" fontId="54" fillId="0" borderId="0" applyFill="0" applyBorder="0">
      <alignment horizontal="right"/>
    </xf>
    <xf numFmtId="14" fontId="42" fillId="0" borderId="0" applyFont="0" applyFill="0" applyBorder="0" applyAlignment="0" applyProtection="0">
      <alignment horizontal="center"/>
    </xf>
    <xf numFmtId="176" fontId="42" fillId="0" borderId="0" applyFont="0" applyFill="0" applyBorder="0" applyAlignment="0" applyProtection="0">
      <alignment horizontal="center"/>
    </xf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7" fontId="33" fillId="0" borderId="0"/>
    <xf numFmtId="7" fontId="33" fillId="0" borderId="0"/>
    <xf numFmtId="6" fontId="39" fillId="0" borderId="0" applyFont="0" applyFill="0" applyBorder="0" applyAlignment="0" applyProtection="0"/>
    <xf numFmtId="177" fontId="5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8" fontId="40" fillId="42" borderId="0" applyFont="0" applyFill="0" applyBorder="0" applyAlignment="0"/>
    <xf numFmtId="0" fontId="58" fillId="0" borderId="0" applyNumberFormat="0" applyFill="0" applyBorder="0" applyProtection="0">
      <alignment horizontal="left" vertical="center"/>
    </xf>
    <xf numFmtId="0" fontId="5" fillId="2" borderId="0" applyNumberFormat="0" applyBorder="0" applyAlignment="0" applyProtection="0"/>
    <xf numFmtId="0" fontId="59" fillId="2" borderId="0" applyNumberFormat="0" applyBorder="0" applyAlignment="0" applyProtection="0"/>
    <xf numFmtId="38" fontId="33" fillId="44" borderId="0" applyNumberFormat="0" applyBorder="0" applyAlignment="0" applyProtection="0"/>
    <xf numFmtId="179" fontId="60" fillId="0" borderId="0" applyFill="0" applyBorder="0" applyAlignment="0" applyProtection="0"/>
    <xf numFmtId="180" fontId="54" fillId="42" borderId="15" applyNumberFormat="0" applyFont="0" applyAlignment="0"/>
    <xf numFmtId="0" fontId="40" fillId="0" borderId="0">
      <alignment horizontal="left"/>
      <protection locked="0"/>
    </xf>
    <xf numFmtId="0" fontId="2" fillId="0" borderId="1" applyNumberFormat="0" applyFill="0" applyAlignment="0" applyProtection="0"/>
    <xf numFmtId="0" fontId="61" fillId="0" borderId="1" applyNumberFormat="0" applyFill="0" applyAlignment="0" applyProtection="0"/>
    <xf numFmtId="0" fontId="3" fillId="0" borderId="2" applyNumberFormat="0" applyFill="0" applyAlignment="0" applyProtection="0"/>
    <xf numFmtId="0" fontId="62" fillId="0" borderId="2" applyNumberFormat="0" applyFill="0" applyAlignment="0" applyProtection="0"/>
    <xf numFmtId="0" fontId="4" fillId="0" borderId="3" applyNumberFormat="0" applyFill="0" applyAlignment="0" applyProtection="0"/>
    <xf numFmtId="0" fontId="6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0" fillId="0" borderId="0" applyNumberFormat="0" applyFill="0" applyBorder="0" applyProtection="0">
      <alignment wrapText="1"/>
    </xf>
    <xf numFmtId="0" fontId="40" fillId="0" borderId="0" applyNumberFormat="0" applyFill="0" applyBorder="0" applyProtection="0">
      <alignment horizontal="justify" vertical="top" wrapText="1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9" fillId="0" borderId="0" applyFont="0" applyFill="0" applyBorder="0" applyAlignment="0" applyProtection="0"/>
    <xf numFmtId="10" fontId="33" fillId="42" borderId="15" applyNumberFormat="0" applyBorder="0" applyAlignment="0" applyProtection="0"/>
    <xf numFmtId="0" fontId="8" fillId="5" borderId="4" applyNumberFormat="0" applyAlignment="0" applyProtection="0"/>
    <xf numFmtId="0" fontId="66" fillId="5" borderId="4" applyNumberFormat="0" applyAlignment="0" applyProtection="0"/>
    <xf numFmtId="8" fontId="33" fillId="0" borderId="0"/>
    <xf numFmtId="15" fontId="33" fillId="42" borderId="0" applyFont="0" applyBorder="0" applyAlignment="0" applyProtection="0">
      <protection locked="0"/>
    </xf>
    <xf numFmtId="178" fontId="33" fillId="42" borderId="0" applyFont="0" applyBorder="0" applyAlignment="0">
      <protection locked="0"/>
    </xf>
    <xf numFmtId="167" fontId="33" fillId="0" borderId="0"/>
    <xf numFmtId="181" fontId="33" fillId="0" borderId="0"/>
    <xf numFmtId="10" fontId="33" fillId="42" borderId="0">
      <protection locked="0"/>
    </xf>
    <xf numFmtId="182" fontId="33" fillId="42" borderId="0" applyFont="0" applyBorder="0" applyAlignment="0">
      <protection locked="0"/>
    </xf>
    <xf numFmtId="167" fontId="67" fillId="42" borderId="0" applyNumberFormat="0" applyBorder="0" applyAlignment="0">
      <protection locked="0"/>
    </xf>
    <xf numFmtId="0" fontId="40" fillId="0" borderId="0" applyFill="0" applyBorder="0">
      <alignment horizontal="right"/>
      <protection locked="0"/>
    </xf>
    <xf numFmtId="183" fontId="40" fillId="0" borderId="0" applyFill="0" applyBorder="0">
      <alignment horizontal="right"/>
      <protection locked="0"/>
    </xf>
    <xf numFmtId="0" fontId="68" fillId="45" borderId="21">
      <alignment horizontal="left" vertical="center" wrapText="1"/>
    </xf>
    <xf numFmtId="0" fontId="11" fillId="0" borderId="6" applyNumberFormat="0" applyFill="0" applyAlignment="0" applyProtection="0"/>
    <xf numFmtId="0" fontId="69" fillId="0" borderId="6" applyNumberFormat="0" applyFill="0" applyAlignment="0" applyProtection="0"/>
    <xf numFmtId="179" fontId="70" fillId="0" borderId="0" applyFill="0" applyBorder="0" applyAlignment="0" applyProtection="0"/>
    <xf numFmtId="184" fontId="71" fillId="0" borderId="0" applyFon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88" fontId="39" fillId="0" borderId="0" applyFont="0" applyFill="0" applyBorder="0" applyAlignment="0" applyProtection="0"/>
    <xf numFmtId="189" fontId="33" fillId="44" borderId="0" applyFont="0" applyBorder="0" applyAlignment="0" applyProtection="0">
      <alignment horizontal="right"/>
      <protection hidden="1"/>
    </xf>
    <xf numFmtId="0" fontId="7" fillId="4" borderId="0" applyNumberFormat="0" applyBorder="0" applyAlignment="0" applyProtection="0"/>
    <xf numFmtId="0" fontId="72" fillId="4" borderId="0" applyNumberFormat="0" applyBorder="0" applyAlignment="0" applyProtection="0"/>
    <xf numFmtId="0" fontId="73" fillId="46" borderId="0"/>
    <xf numFmtId="0" fontId="74" fillId="47" borderId="0"/>
    <xf numFmtId="0" fontId="73" fillId="46" borderId="0"/>
    <xf numFmtId="0" fontId="73" fillId="46" borderId="0"/>
    <xf numFmtId="190" fontId="75" fillId="0" borderId="0"/>
    <xf numFmtId="38" fontId="33" fillId="0" borderId="15" applyFont="0" applyFill="0" applyBorder="0" applyAlignment="0" applyProtection="0"/>
    <xf numFmtId="167" fontId="40" fillId="0" borderId="0" applyFont="0" applyFill="0" applyBorder="0" applyAlignment="0"/>
    <xf numFmtId="40" fontId="33" fillId="0" borderId="0" applyFont="0" applyFill="0" applyBorder="0" applyAlignment="0"/>
    <xf numFmtId="191" fontId="33" fillId="0" borderId="0" applyFont="0" applyFill="0" applyBorder="0" applyAlignment="0"/>
    <xf numFmtId="0" fontId="1" fillId="0" borderId="0"/>
    <xf numFmtId="0" fontId="34" fillId="0" borderId="0"/>
    <xf numFmtId="0" fontId="17" fillId="0" borderId="0">
      <alignment vertical="center"/>
    </xf>
    <xf numFmtId="0" fontId="1" fillId="0" borderId="0"/>
    <xf numFmtId="0" fontId="40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4" fillId="0" borderId="0" applyNumberFormat="0" applyFill="0" applyBorder="0" applyAlignment="0" applyProtection="0"/>
    <xf numFmtId="192" fontId="33" fillId="0" borderId="0" applyFont="0" applyFill="0" applyBorder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9" fillId="6" borderId="5" applyNumberFormat="0" applyAlignment="0" applyProtection="0"/>
    <xf numFmtId="0" fontId="76" fillId="6" borderId="5" applyNumberFormat="0" applyAlignment="0" applyProtection="0"/>
    <xf numFmtId="195" fontId="33" fillId="0" borderId="0" applyFont="0" applyFill="0" applyBorder="0" applyAlignment="0"/>
    <xf numFmtId="196" fontId="33" fillId="0" borderId="0" applyFill="0" applyBorder="0"/>
    <xf numFmtId="197" fontId="39" fillId="0" borderId="0"/>
    <xf numFmtId="198" fontId="40" fillId="0" borderId="0" applyFont="0" applyFill="0" applyBorder="0" applyAlignment="0"/>
    <xf numFmtId="182" fontId="33" fillId="0" borderId="0" applyFont="0" applyFill="0" applyBorder="0" applyAlignment="0"/>
    <xf numFmtId="10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35" fillId="0" borderId="0"/>
    <xf numFmtId="199" fontId="40" fillId="0" borderId="0" applyFill="0" applyBorder="0">
      <alignment horizontal="right"/>
      <protection locked="0"/>
    </xf>
    <xf numFmtId="200" fontId="39" fillId="0" borderId="0" applyFont="0" applyFill="0" applyBorder="0" applyAlignment="0" applyProtection="0"/>
    <xf numFmtId="201" fontId="33" fillId="0" borderId="0" applyFont="0" applyFill="0" applyBorder="0" applyAlignment="0" applyProtection="0"/>
    <xf numFmtId="167" fontId="39" fillId="0" borderId="0" applyFont="0" applyFill="0" applyBorder="0" applyAlignment="0" applyProtection="0">
      <protection locked="0"/>
    </xf>
    <xf numFmtId="38" fontId="39" fillId="0" borderId="0" applyFont="0" applyFill="0" applyBorder="0" applyAlignment="0" applyProtection="0"/>
    <xf numFmtId="8" fontId="77" fillId="0" borderId="22">
      <alignment horizontal="right"/>
    </xf>
    <xf numFmtId="202" fontId="40" fillId="0" borderId="0">
      <alignment horizontal="right"/>
      <protection locked="0"/>
    </xf>
    <xf numFmtId="167" fontId="78" fillId="0" borderId="0" applyNumberFormat="0" applyFill="0" applyBorder="0" applyAlignment="0" applyProtection="0">
      <alignment horizontal="left"/>
    </xf>
    <xf numFmtId="203" fontId="79" fillId="0" borderId="0" applyFill="0" applyBorder="0">
      <alignment horizontal="right"/>
      <protection hidden="1"/>
    </xf>
    <xf numFmtId="0" fontId="80" fillId="41" borderId="15">
      <alignment horizontal="center" vertical="center" wrapText="1"/>
      <protection hidden="1"/>
    </xf>
    <xf numFmtId="167" fontId="39" fillId="0" borderId="0" applyFont="0" applyFill="0" applyBorder="0" applyAlignment="0" applyProtection="0"/>
    <xf numFmtId="0" fontId="81" fillId="0" borderId="0" applyFont="0" applyBorder="0"/>
    <xf numFmtId="0" fontId="82" fillId="0" borderId="0"/>
    <xf numFmtId="167" fontId="33" fillId="48" borderId="0" applyNumberFormat="0" applyFont="0" applyBorder="0" applyAlignment="0">
      <protection hidden="1"/>
    </xf>
    <xf numFmtId="0" fontId="83" fillId="49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49" borderId="0" applyNumberFormat="0" applyBorder="0" applyAlignment="0" applyProtection="0"/>
    <xf numFmtId="0" fontId="8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7" fillId="50" borderId="0" applyNumberFormat="0" applyBorder="0" applyAlignment="0" applyProtection="0"/>
    <xf numFmtId="0" fontId="87" fillId="50" borderId="0" applyNumberFormat="0" applyBorder="0" applyProtection="0">
      <alignment horizontal="center"/>
    </xf>
    <xf numFmtId="0" fontId="88" fillId="50" borderId="0" applyNumberFormat="0" applyBorder="0" applyAlignment="0" applyProtection="0"/>
    <xf numFmtId="0" fontId="40" fillId="0" borderId="0" applyNumberFormat="0" applyFont="0" applyFill="0" applyBorder="0" applyProtection="0">
      <alignment horizontal="right"/>
    </xf>
    <xf numFmtId="0" fontId="40" fillId="0" borderId="0" applyNumberFormat="0" applyFont="0" applyFill="0" applyBorder="0" applyProtection="0">
      <alignment horizontal="left"/>
    </xf>
    <xf numFmtId="0" fontId="3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51" borderId="0" applyNumberFormat="0" applyFont="0" applyBorder="0" applyAlignment="0" applyProtection="0"/>
    <xf numFmtId="204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0" fontId="40" fillId="0" borderId="23" applyNumberFormat="0" applyFont="0" applyFill="0" applyAlignment="0" applyProtection="0"/>
    <xf numFmtId="0" fontId="89" fillId="0" borderId="24" applyNumberFormat="0" applyFill="0" applyProtection="0">
      <alignment horizontal="right" vertical="center"/>
    </xf>
    <xf numFmtId="167" fontId="40" fillId="52" borderId="0" applyNumberFormat="0" applyFont="0" applyBorder="0" applyAlignment="0" applyProtection="0"/>
    <xf numFmtId="206" fontId="90" fillId="0" borderId="0">
      <alignment horizontal="left"/>
    </xf>
    <xf numFmtId="207" fontId="91" fillId="0" borderId="0" applyFill="0" applyBorder="0" applyAlignment="0" applyProtection="0">
      <alignment horizontal="right"/>
    </xf>
    <xf numFmtId="167" fontId="92" fillId="0" borderId="25"/>
    <xf numFmtId="167" fontId="77" fillId="0" borderId="0" applyNumberFormat="0" applyFill="0" applyBorder="0" applyAlignment="0" applyProtection="0"/>
    <xf numFmtId="0" fontId="51" fillId="0" borderId="0" applyBorder="0"/>
    <xf numFmtId="0" fontId="15" fillId="0" borderId="9" applyNumberFormat="0" applyFill="0" applyAlignment="0" applyProtection="0"/>
    <xf numFmtId="0" fontId="93" fillId="0" borderId="9" applyNumberFormat="0" applyFill="0" applyAlignment="0" applyProtection="0"/>
    <xf numFmtId="167" fontId="94" fillId="0" borderId="0"/>
    <xf numFmtId="6" fontId="82" fillId="0" borderId="0" applyFont="0" applyFill="0" applyBorder="0" applyAlignment="0" applyProtection="0"/>
    <xf numFmtId="8" fontId="9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7" fontId="97" fillId="0" borderId="0" applyNumberFormat="0" applyFill="0" applyBorder="0" applyAlignment="0" applyProtection="0"/>
    <xf numFmtId="1" fontId="39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18" fillId="0" borderId="0" xfId="0" applyFont="1">
      <alignment vertical="center"/>
    </xf>
    <xf numFmtId="0" fontId="15" fillId="33" borderId="0" xfId="0" applyFont="1" applyFill="1">
      <alignment vertical="center"/>
    </xf>
    <xf numFmtId="0" fontId="12" fillId="34" borderId="0" xfId="0" applyFont="1" applyFill="1" applyAlignment="1">
      <alignment vertical="center" wrapText="1"/>
    </xf>
    <xf numFmtId="0" fontId="12" fillId="34" borderId="0" xfId="0" applyFont="1" applyFill="1" applyAlignment="1">
      <alignment horizontal="center" vertical="center"/>
    </xf>
    <xf numFmtId="0" fontId="12" fillId="34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>
      <alignment vertical="center"/>
    </xf>
    <xf numFmtId="0" fontId="19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0" fillId="35" borderId="0" xfId="0" applyFont="1" applyFill="1">
      <alignment vertical="center"/>
    </xf>
    <xf numFmtId="0" fontId="0" fillId="35" borderId="10" xfId="0" applyFill="1" applyBorder="1">
      <alignment vertical="center"/>
    </xf>
    <xf numFmtId="0" fontId="0" fillId="35" borderId="0" xfId="0" applyFill="1" applyBorder="1">
      <alignment vertical="center"/>
    </xf>
    <xf numFmtId="0" fontId="19" fillId="35" borderId="0" xfId="0" applyFont="1" applyFill="1" applyBorder="1">
      <alignment vertical="center"/>
    </xf>
    <xf numFmtId="0" fontId="0" fillId="35" borderId="11" xfId="0" applyFill="1" applyBorder="1">
      <alignment vertical="center"/>
    </xf>
    <xf numFmtId="0" fontId="0" fillId="35" borderId="12" xfId="0" applyFill="1" applyBorder="1">
      <alignment vertical="center"/>
    </xf>
    <xf numFmtId="0" fontId="0" fillId="35" borderId="0" xfId="0" applyFill="1">
      <alignment vertical="center"/>
    </xf>
    <xf numFmtId="0" fontId="0" fillId="35" borderId="13" xfId="0" applyFill="1" applyBorder="1">
      <alignment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0" xfId="0" applyNumberFormat="1" applyFill="1" applyBorder="1" applyAlignment="1">
      <alignment horizontal="right" vertical="center"/>
    </xf>
    <xf numFmtId="37" fontId="21" fillId="0" borderId="0" xfId="0" applyNumberFormat="1" applyFont="1" applyFill="1" applyBorder="1" applyAlignment="1">
      <alignment horizontal="right" vertical="center"/>
    </xf>
    <xf numFmtId="37" fontId="21" fillId="0" borderId="10" xfId="0" applyNumberFormat="1" applyFont="1" applyFill="1" applyBorder="1" applyAlignment="1">
      <alignment horizontal="right" vertical="center"/>
    </xf>
    <xf numFmtId="37" fontId="19" fillId="0" borderId="0" xfId="0" applyNumberFormat="1" applyFont="1" applyFill="1" applyBorder="1" applyAlignment="1">
      <alignment horizontal="right" vertical="center"/>
    </xf>
    <xf numFmtId="37" fontId="22" fillId="0" borderId="0" xfId="0" applyNumberFormat="1" applyFont="1" applyFill="1" applyBorder="1" applyAlignment="1">
      <alignment horizontal="right" vertical="center"/>
    </xf>
    <xf numFmtId="37" fontId="22" fillId="0" borderId="10" xfId="0" applyNumberFormat="1" applyFont="1" applyFill="1" applyBorder="1" applyAlignment="1">
      <alignment horizontal="right" vertical="center"/>
    </xf>
    <xf numFmtId="37" fontId="0" fillId="0" borderId="11" xfId="0" applyNumberFormat="1" applyFill="1" applyBorder="1" applyAlignment="1">
      <alignment horizontal="right" vertical="center"/>
    </xf>
    <xf numFmtId="37" fontId="0" fillId="0" borderId="12" xfId="0" applyNumberFormat="1" applyFill="1" applyBorder="1" applyAlignment="1">
      <alignment horizontal="right" vertical="center"/>
    </xf>
    <xf numFmtId="37" fontId="0" fillId="0" borderId="0" xfId="0" applyNumberFormat="1" applyFill="1" applyAlignment="1">
      <alignment horizontal="right" vertical="center"/>
    </xf>
    <xf numFmtId="37" fontId="0" fillId="0" borderId="13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9" fontId="0" fillId="0" borderId="0" xfId="1" applyFont="1" applyFill="1" applyAlignment="1">
      <alignment horizontal="right" vertical="center"/>
    </xf>
    <xf numFmtId="37" fontId="19" fillId="0" borderId="1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 indent="1"/>
    </xf>
    <xf numFmtId="37" fontId="15" fillId="0" borderId="10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Border="1" applyAlignment="1">
      <alignment horizontal="right" vertical="center"/>
    </xf>
    <xf numFmtId="37" fontId="23" fillId="0" borderId="0" xfId="0" applyNumberFormat="1" applyFont="1" applyFill="1" applyBorder="1" applyAlignment="1">
      <alignment horizontal="right" vertical="center"/>
    </xf>
    <xf numFmtId="37" fontId="24" fillId="0" borderId="14" xfId="0" applyNumberFormat="1" applyFont="1" applyFill="1" applyBorder="1" applyAlignment="1">
      <alignment horizontal="right" vertical="center"/>
    </xf>
    <xf numFmtId="37" fontId="24" fillId="0" borderId="0" xfId="0" applyNumberFormat="1" applyFont="1" applyFill="1" applyBorder="1" applyAlignment="1">
      <alignment horizontal="right" vertical="center"/>
    </xf>
    <xf numFmtId="37" fontId="15" fillId="0" borderId="11" xfId="0" applyNumberFormat="1" applyFont="1" applyFill="1" applyBorder="1" applyAlignment="1">
      <alignment horizontal="right" vertical="center"/>
    </xf>
    <xf numFmtId="37" fontId="15" fillId="0" borderId="12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Alignment="1">
      <alignment horizontal="right" vertical="center"/>
    </xf>
    <xf numFmtId="37" fontId="15" fillId="0" borderId="13" xfId="0" applyNumberFormat="1" applyFont="1" applyFill="1" applyBorder="1" applyAlignment="1">
      <alignment horizontal="right" vertical="center"/>
    </xf>
    <xf numFmtId="9" fontId="15" fillId="0" borderId="0" xfId="1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0" fillId="35" borderId="10" xfId="0" applyFill="1" applyBorder="1" applyAlignment="1">
      <alignment horizontal="right" vertical="center"/>
    </xf>
    <xf numFmtId="0" fontId="0" fillId="35" borderId="0" xfId="0" applyFill="1" applyBorder="1" applyAlignment="1">
      <alignment horizontal="right" vertical="center"/>
    </xf>
    <xf numFmtId="0" fontId="19" fillId="35" borderId="0" xfId="0" applyFont="1" applyFill="1" applyBorder="1" applyAlignment="1">
      <alignment horizontal="right" vertical="center"/>
    </xf>
    <xf numFmtId="0" fontId="0" fillId="35" borderId="11" xfId="0" applyFill="1" applyBorder="1" applyAlignment="1">
      <alignment horizontal="right" vertical="center"/>
    </xf>
    <xf numFmtId="0" fontId="0" fillId="35" borderId="12" xfId="0" applyFill="1" applyBorder="1" applyAlignment="1">
      <alignment horizontal="right" vertical="center"/>
    </xf>
    <xf numFmtId="0" fontId="0" fillId="35" borderId="0" xfId="0" applyFill="1" applyAlignment="1">
      <alignment horizontal="right" vertical="center"/>
    </xf>
    <xf numFmtId="0" fontId="0" fillId="35" borderId="13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37" fontId="25" fillId="0" borderId="0" xfId="0" applyNumberFormat="1" applyFont="1" applyFill="1" applyBorder="1" applyAlignment="1">
      <alignment horizontal="right" vertical="center"/>
    </xf>
    <xf numFmtId="37" fontId="26" fillId="0" borderId="10" xfId="0" applyNumberFormat="1" applyFont="1" applyFill="1" applyBorder="1" applyAlignment="1">
      <alignment horizontal="right" vertical="center"/>
    </xf>
    <xf numFmtId="37" fontId="26" fillId="0" borderId="0" xfId="0" applyNumberFormat="1" applyFont="1" applyFill="1" applyBorder="1" applyAlignment="1">
      <alignment horizontal="right" vertical="center"/>
    </xf>
    <xf numFmtId="37" fontId="27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>
      <alignment vertical="center"/>
    </xf>
    <xf numFmtId="4" fontId="0" fillId="0" borderId="0" xfId="0" applyNumberFormat="1" applyAlignment="1">
      <alignment horizontal="right" vertical="center"/>
    </xf>
    <xf numFmtId="0" fontId="98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208" fontId="0" fillId="0" borderId="0" xfId="0" applyNumberFormat="1" applyAlignment="1">
      <alignment horizontal="right" vertical="center"/>
    </xf>
    <xf numFmtId="0" fontId="12" fillId="34" borderId="0" xfId="0" applyFont="1" applyFill="1" applyAlignment="1">
      <alignment horizontal="center" vertical="center" wrapText="1"/>
    </xf>
    <xf numFmtId="37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26" xfId="0" applyFill="1" applyBorder="1">
      <alignment vertical="center"/>
    </xf>
    <xf numFmtId="3" fontId="0" fillId="0" borderId="26" xfId="0" applyNumberFormat="1" applyBorder="1">
      <alignment vertical="center"/>
    </xf>
    <xf numFmtId="205" fontId="0" fillId="0" borderId="0" xfId="0" applyNumberFormat="1">
      <alignment vertical="center"/>
    </xf>
    <xf numFmtId="205" fontId="0" fillId="0" borderId="26" xfId="0" applyNumberFormat="1" applyBorder="1">
      <alignment vertical="center"/>
    </xf>
    <xf numFmtId="205" fontId="0" fillId="0" borderId="0" xfId="0" applyNumberFormat="1" applyFill="1" applyBorder="1">
      <alignment vertical="center"/>
    </xf>
    <xf numFmtId="9" fontId="0" fillId="0" borderId="0" xfId="1" applyFont="1" applyAlignment="1">
      <alignment vertical="center"/>
    </xf>
    <xf numFmtId="37" fontId="0" fillId="0" borderId="0" xfId="0" applyNumberFormat="1">
      <alignment vertical="center"/>
    </xf>
    <xf numFmtId="37" fontId="0" fillId="0" borderId="26" xfId="0" applyNumberFormat="1" applyBorder="1">
      <alignment vertical="center"/>
    </xf>
    <xf numFmtId="9" fontId="0" fillId="0" borderId="26" xfId="1" applyFont="1" applyBorder="1" applyAlignment="1">
      <alignment vertical="center"/>
    </xf>
    <xf numFmtId="3" fontId="0" fillId="0" borderId="0" xfId="0" applyNumberFormat="1" applyBorder="1">
      <alignment vertical="center"/>
    </xf>
    <xf numFmtId="205" fontId="0" fillId="0" borderId="0" xfId="0" applyNumberFormat="1" applyBorder="1">
      <alignment vertical="center"/>
    </xf>
    <xf numFmtId="37" fontId="0" fillId="0" borderId="0" xfId="0" applyNumberFormat="1" applyBorder="1">
      <alignment vertical="center"/>
    </xf>
    <xf numFmtId="197" fontId="0" fillId="0" borderId="0" xfId="1" applyNumberFormat="1" applyFont="1" applyAlignment="1">
      <alignment vertical="center"/>
    </xf>
    <xf numFmtId="197" fontId="0" fillId="0" borderId="0" xfId="0" applyNumberFormat="1">
      <alignment vertical="center"/>
    </xf>
    <xf numFmtId="197" fontId="15" fillId="0" borderId="0" xfId="1" applyNumberFormat="1" applyFont="1" applyAlignment="1">
      <alignment vertical="center"/>
    </xf>
    <xf numFmtId="0" fontId="12" fillId="34" borderId="0" xfId="0" applyFont="1" applyFill="1" applyAlignment="1">
      <alignment horizontal="center" vertical="center"/>
    </xf>
  </cellXfs>
  <cellStyles count="395">
    <cellStyle name="******************************************" xfId="2"/>
    <cellStyle name="1,comma" xfId="3"/>
    <cellStyle name="20% - Accent1 10" xfId="4"/>
    <cellStyle name="20% - Accent1 2" xfId="5"/>
    <cellStyle name="20% - Accent1 2 2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7" xfId="14"/>
    <cellStyle name="20% - Accent1 8" xfId="15"/>
    <cellStyle name="20% - Accent1 9" xfId="16"/>
    <cellStyle name="20% - Accent2 10" xfId="17"/>
    <cellStyle name="20% - Accent2 2" xfId="18"/>
    <cellStyle name="20% - Accent2 2 2" xfId="19"/>
    <cellStyle name="20% - Accent2 3" xfId="20"/>
    <cellStyle name="20% - Accent2 3 2" xfId="21"/>
    <cellStyle name="20% - Accent2 4" xfId="22"/>
    <cellStyle name="20% - Accent2 4 2" xfId="23"/>
    <cellStyle name="20% - Accent2 5" xfId="24"/>
    <cellStyle name="20% - Accent2 5 2" xfId="25"/>
    <cellStyle name="20% - Accent2 6" xfId="26"/>
    <cellStyle name="20% - Accent2 7" xfId="27"/>
    <cellStyle name="20% - Accent2 8" xfId="28"/>
    <cellStyle name="20% - Accent2 9" xfId="29"/>
    <cellStyle name="20% - Accent3 10" xfId="30"/>
    <cellStyle name="20% - Accent3 2" xfId="31"/>
    <cellStyle name="20% - Accent3 2 2" xfId="32"/>
    <cellStyle name="20% - Accent3 3" xfId="33"/>
    <cellStyle name="20% - Accent3 3 2" xfId="34"/>
    <cellStyle name="20% - Accent3 4" xfId="35"/>
    <cellStyle name="20% - Accent3 4 2" xfId="36"/>
    <cellStyle name="20% - Accent3 5" xfId="37"/>
    <cellStyle name="20% - Accent3 5 2" xfId="38"/>
    <cellStyle name="20% - Accent3 6" xfId="39"/>
    <cellStyle name="20% - Accent3 7" xfId="40"/>
    <cellStyle name="20% - Accent3 8" xfId="41"/>
    <cellStyle name="20% - Accent3 9" xfId="42"/>
    <cellStyle name="20% - Accent4 10" xfId="43"/>
    <cellStyle name="20% - Accent4 2" xfId="44"/>
    <cellStyle name="20% - Accent4 2 2" xfId="45"/>
    <cellStyle name="20% - Accent4 3" xfId="46"/>
    <cellStyle name="20% - Accent4 3 2" xfId="47"/>
    <cellStyle name="20% - Accent4 4" xfId="48"/>
    <cellStyle name="20% - Accent4 4 2" xfId="49"/>
    <cellStyle name="20% - Accent4 5" xfId="50"/>
    <cellStyle name="20% - Accent4 5 2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2" xfId="57"/>
    <cellStyle name="20% - Accent5 2 2" xfId="58"/>
    <cellStyle name="20% - Accent5 3" xfId="59"/>
    <cellStyle name="20% - Accent5 3 2" xfId="60"/>
    <cellStyle name="20% - Accent5 4" xfId="61"/>
    <cellStyle name="20% - Accent5 4 2" xfId="62"/>
    <cellStyle name="20% - Accent5 5" xfId="63"/>
    <cellStyle name="20% - Accent5 5 2" xfId="64"/>
    <cellStyle name="20% - Accent5 6" xfId="65"/>
    <cellStyle name="20% - Accent5 7" xfId="66"/>
    <cellStyle name="20% - Accent5 8" xfId="67"/>
    <cellStyle name="20% - Accent5 9" xfId="68"/>
    <cellStyle name="20% - Accent6 10" xfId="69"/>
    <cellStyle name="20% - Accent6 2" xfId="70"/>
    <cellStyle name="20% - Accent6 2 2" xfId="71"/>
    <cellStyle name="20% - Accent6 3" xfId="72"/>
    <cellStyle name="20% - Accent6 3 2" xfId="73"/>
    <cellStyle name="20% - Accent6 4" xfId="74"/>
    <cellStyle name="20% - Accent6 4 2" xfId="75"/>
    <cellStyle name="20% - Accent6 5" xfId="76"/>
    <cellStyle name="20% - Accent6 5 2" xfId="77"/>
    <cellStyle name="20% - Accent6 6" xfId="78"/>
    <cellStyle name="20% - Accent6 7" xfId="79"/>
    <cellStyle name="20% - Accent6 8" xfId="80"/>
    <cellStyle name="20% - Accent6 9" xfId="81"/>
    <cellStyle name="2decimal" xfId="82"/>
    <cellStyle name="3 decimales" xfId="83"/>
    <cellStyle name="40% - Accent1 10" xfId="84"/>
    <cellStyle name="40% - Accent1 2" xfId="85"/>
    <cellStyle name="40% - Accent1 2 2" xfId="86"/>
    <cellStyle name="40% - Accent1 3" xfId="87"/>
    <cellStyle name="40% - Accent1 3 2" xfId="88"/>
    <cellStyle name="40% - Accent1 4" xfId="89"/>
    <cellStyle name="40% - Accent1 4 2" xfId="90"/>
    <cellStyle name="40% - Accent1 5" xfId="91"/>
    <cellStyle name="40% - Accent1 5 2" xfId="92"/>
    <cellStyle name="40% - Accent1 6" xfId="93"/>
    <cellStyle name="40% - Accent1 7" xfId="94"/>
    <cellStyle name="40% - Accent1 8" xfId="95"/>
    <cellStyle name="40% - Accent1 9" xfId="96"/>
    <cellStyle name="40% - Accent2 10" xfId="97"/>
    <cellStyle name="40% - Accent2 2" xfId="98"/>
    <cellStyle name="40% - Accent2 2 2" xfId="99"/>
    <cellStyle name="40% - Accent2 3" xfId="100"/>
    <cellStyle name="40% - Accent2 3 2" xfId="101"/>
    <cellStyle name="40% - Accent2 4" xfId="102"/>
    <cellStyle name="40% - Accent2 4 2" xfId="103"/>
    <cellStyle name="40% - Accent2 5" xfId="104"/>
    <cellStyle name="40% - Accent2 5 2" xfId="105"/>
    <cellStyle name="40% - Accent2 6" xfId="106"/>
    <cellStyle name="40% - Accent2 7" xfId="107"/>
    <cellStyle name="40% - Accent2 8" xfId="108"/>
    <cellStyle name="40% - Accent2 9" xfId="109"/>
    <cellStyle name="40% - Accent3 10" xfId="110"/>
    <cellStyle name="40% - Accent3 2" xfId="111"/>
    <cellStyle name="40% - Accent3 2 2" xfId="112"/>
    <cellStyle name="40% - Accent3 3" xfId="113"/>
    <cellStyle name="40% - Accent3 3 2" xfId="114"/>
    <cellStyle name="40% - Accent3 4" xfId="115"/>
    <cellStyle name="40% - Accent3 4 2" xfId="116"/>
    <cellStyle name="40% - Accent3 5" xfId="117"/>
    <cellStyle name="40% - Accent3 5 2" xfId="118"/>
    <cellStyle name="40% - Accent3 6" xfId="119"/>
    <cellStyle name="40% - Accent3 7" xfId="120"/>
    <cellStyle name="40% - Accent3 8" xfId="121"/>
    <cellStyle name="40% - Accent3 9" xfId="122"/>
    <cellStyle name="40% - Accent4 10" xfId="123"/>
    <cellStyle name="40% - Accent4 2" xfId="124"/>
    <cellStyle name="40% - Accent4 2 2" xfId="125"/>
    <cellStyle name="40% - Accent4 3" xfId="126"/>
    <cellStyle name="40% - Accent4 3 2" xfId="127"/>
    <cellStyle name="40% - Accent4 4" xfId="128"/>
    <cellStyle name="40% - Accent4 4 2" xfId="129"/>
    <cellStyle name="40% - Accent4 5" xfId="130"/>
    <cellStyle name="40% - Accent4 5 2" xfId="131"/>
    <cellStyle name="40% - Accent4 6" xfId="132"/>
    <cellStyle name="40% - Accent4 7" xfId="133"/>
    <cellStyle name="40% - Accent4 8" xfId="134"/>
    <cellStyle name="40% - Accent4 9" xfId="135"/>
    <cellStyle name="40% - Accent5 10" xfId="136"/>
    <cellStyle name="40% - Accent5 2" xfId="137"/>
    <cellStyle name="40% - Accent5 2 2" xfId="138"/>
    <cellStyle name="40% - Accent5 3" xfId="139"/>
    <cellStyle name="40% - Accent5 3 2" xfId="140"/>
    <cellStyle name="40% - Accent5 4" xfId="141"/>
    <cellStyle name="40% - Accent5 4 2" xfId="142"/>
    <cellStyle name="40% - Accent5 5" xfId="143"/>
    <cellStyle name="40% - Accent5 5 2" xfId="144"/>
    <cellStyle name="40% - Accent5 6" xfId="145"/>
    <cellStyle name="40% - Accent5 7" xfId="146"/>
    <cellStyle name="40% - Accent5 8" xfId="147"/>
    <cellStyle name="40% - Accent5 9" xfId="148"/>
    <cellStyle name="40% - Accent6 10" xfId="149"/>
    <cellStyle name="40% - Accent6 2" xfId="150"/>
    <cellStyle name="40% - Accent6 2 2" xfId="151"/>
    <cellStyle name="40% - Accent6 3" xfId="152"/>
    <cellStyle name="40% - Accent6 3 2" xfId="153"/>
    <cellStyle name="40% - Accent6 4" xfId="154"/>
    <cellStyle name="40% - Accent6 4 2" xfId="155"/>
    <cellStyle name="40% - Accent6 5" xfId="156"/>
    <cellStyle name="40% - Accent6 5 2" xfId="157"/>
    <cellStyle name="40% - Accent6 6" xfId="158"/>
    <cellStyle name="40% - Accent6 7" xfId="159"/>
    <cellStyle name="40% - Accent6 8" xfId="160"/>
    <cellStyle name="40% - Accent6 9" xfId="161"/>
    <cellStyle name="60% - Accent1 2" xfId="162"/>
    <cellStyle name="60% - Accent1 3" xfId="163"/>
    <cellStyle name="60% - Accent2 2" xfId="164"/>
    <cellStyle name="60% - Accent2 3" xfId="165"/>
    <cellStyle name="60% - Accent3 2" xfId="166"/>
    <cellStyle name="60% - Accent3 3" xfId="167"/>
    <cellStyle name="60% - Accent4 2" xfId="168"/>
    <cellStyle name="60% - Accent4 3" xfId="169"/>
    <cellStyle name="60% - Accent5 2" xfId="170"/>
    <cellStyle name="60% - Accent5 3" xfId="171"/>
    <cellStyle name="60% - Accent6 2" xfId="172"/>
    <cellStyle name="60% - Accent6 3" xfId="173"/>
    <cellStyle name="a" xfId="174"/>
    <cellStyle name="Accent1 2" xfId="175"/>
    <cellStyle name="Accent1 3" xfId="176"/>
    <cellStyle name="Accent2 2" xfId="177"/>
    <cellStyle name="Accent2 3" xfId="178"/>
    <cellStyle name="Accent3 2" xfId="179"/>
    <cellStyle name="Accent3 3" xfId="180"/>
    <cellStyle name="Accent4 2" xfId="181"/>
    <cellStyle name="Accent4 3" xfId="182"/>
    <cellStyle name="Accent5 2" xfId="183"/>
    <cellStyle name="Accent5 3" xfId="184"/>
    <cellStyle name="Accent6 2" xfId="185"/>
    <cellStyle name="Accent6 3" xfId="186"/>
    <cellStyle name="Bad 2" xfId="187"/>
    <cellStyle name="Bad 3" xfId="188"/>
    <cellStyle name="BalanceSheet" xfId="189"/>
    <cellStyle name="Basis Points" xfId="190"/>
    <cellStyle name="blank" xfId="191"/>
    <cellStyle name="Calculation 2" xfId="192"/>
    <cellStyle name="Calculation 3" xfId="193"/>
    <cellStyle name="CashFlow" xfId="194"/>
    <cellStyle name="Check Cell 2" xfId="195"/>
    <cellStyle name="Check Cell 3" xfId="196"/>
    <cellStyle name="clsAltData" xfId="197"/>
    <cellStyle name="clsAltMRVData" xfId="198"/>
    <cellStyle name="clsAltRowHeader" xfId="199"/>
    <cellStyle name="clsBlank" xfId="200"/>
    <cellStyle name="clsColumnHeader" xfId="201"/>
    <cellStyle name="clsColumnHeader1" xfId="202"/>
    <cellStyle name="clsColumnHeader2" xfId="203"/>
    <cellStyle name="clsData" xfId="204"/>
    <cellStyle name="clsDefault" xfId="205"/>
    <cellStyle name="clsIndexTableData" xfId="206"/>
    <cellStyle name="clsIndexTableHdr" xfId="207"/>
    <cellStyle name="clsIndexTableTitle" xfId="208"/>
    <cellStyle name="clsMRVData" xfId="209"/>
    <cellStyle name="clsMRVRow" xfId="210"/>
    <cellStyle name="clsReportFooter" xfId="211"/>
    <cellStyle name="clsReportHeader" xfId="212"/>
    <cellStyle name="clsRowHeader" xfId="213"/>
    <cellStyle name="clsRptComment" xfId="214"/>
    <cellStyle name="clsScale" xfId="215"/>
    <cellStyle name="clsSection" xfId="216"/>
    <cellStyle name="ColHeading" xfId="217"/>
    <cellStyle name="comma (1)" xfId="218"/>
    <cellStyle name="Comma 2" xfId="219"/>
    <cellStyle name="Comma 3" xfId="220"/>
    <cellStyle name="Comma, 1 dec" xfId="221"/>
    <cellStyle name="Company" xfId="222"/>
    <cellStyle name="CurRatio" xfId="223"/>
    <cellStyle name="Currency (1)" xfId="224"/>
    <cellStyle name="Currency [1]" xfId="225"/>
    <cellStyle name="Currency [2]" xfId="226"/>
    <cellStyle name="Currency 2" xfId="227"/>
    <cellStyle name="Currency 3" xfId="228"/>
    <cellStyle name="Date" xfId="229"/>
    <cellStyle name="Date [d-mmm-yy]" xfId="230"/>
    <cellStyle name="Date [mm-d-yy]" xfId="231"/>
    <cellStyle name="Date [mm-d-yyyy]" xfId="232"/>
    <cellStyle name="Date [mmm-d-yyyy]" xfId="233"/>
    <cellStyle name="Date [mmm-yy]" xfId="234"/>
    <cellStyle name="Date_NYX Model" xfId="235"/>
    <cellStyle name="Date2" xfId="236"/>
    <cellStyle name="Dates" xfId="237"/>
    <cellStyle name="DateYear" xfId="238"/>
    <cellStyle name="Dezimal [0]_Consol" xfId="239"/>
    <cellStyle name="Dezimal_BASICS" xfId="240"/>
    <cellStyle name="dollar" xfId="241"/>
    <cellStyle name="dollars" xfId="242"/>
    <cellStyle name="DollarWhole" xfId="243"/>
    <cellStyle name="Euro" xfId="244"/>
    <cellStyle name="Explanatory Text 2" xfId="245"/>
    <cellStyle name="Explanatory Text 3" xfId="246"/>
    <cellStyle name="Fixed [0]" xfId="247"/>
    <cellStyle name="Footnote" xfId="248"/>
    <cellStyle name="Good 2" xfId="249"/>
    <cellStyle name="Good 3" xfId="250"/>
    <cellStyle name="Grey" xfId="251"/>
    <cellStyle name="GrowthRate" xfId="252"/>
    <cellStyle name="hard no." xfId="253"/>
    <cellStyle name="Head1_mcd99ar" xfId="254"/>
    <cellStyle name="Heading 1 2" xfId="255"/>
    <cellStyle name="Heading 1 3" xfId="256"/>
    <cellStyle name="Heading 2 2" xfId="257"/>
    <cellStyle name="Heading 2 3" xfId="258"/>
    <cellStyle name="Heading 3 2" xfId="259"/>
    <cellStyle name="Heading 3 3" xfId="260"/>
    <cellStyle name="Heading 4 2" xfId="261"/>
    <cellStyle name="Heading 4 3" xfId="262"/>
    <cellStyle name="HeadlineStyle" xfId="263"/>
    <cellStyle name="HeadlineStyleJustified" xfId="264"/>
    <cellStyle name="Hyperlink 2" xfId="265"/>
    <cellStyle name="Hyperlink 3" xfId="266"/>
    <cellStyle name="IncomeStatement" xfId="267"/>
    <cellStyle name="Input [yellow]" xfId="268"/>
    <cellStyle name="Input 2" xfId="269"/>
    <cellStyle name="Input 3" xfId="270"/>
    <cellStyle name="Input Currency" xfId="271"/>
    <cellStyle name="Input Date" xfId="272"/>
    <cellStyle name="Input Fixed [0]" xfId="273"/>
    <cellStyle name="Input Normal" xfId="274"/>
    <cellStyle name="Input Percent" xfId="275"/>
    <cellStyle name="Input Percent [2]" xfId="276"/>
    <cellStyle name="Input Percent_cl0721" xfId="277"/>
    <cellStyle name="Input Titles" xfId="278"/>
    <cellStyle name="Integer" xfId="279"/>
    <cellStyle name="Item" xfId="280"/>
    <cellStyle name="ItemTypeClass" xfId="281"/>
    <cellStyle name="Linked Cell 2" xfId="282"/>
    <cellStyle name="Linked Cell 3" xfId="283"/>
    <cellStyle name="Margins" xfId="284"/>
    <cellStyle name="Millares [0]_Temp. " xfId="285"/>
    <cellStyle name="Millares_Temp. " xfId="286"/>
    <cellStyle name="Moneda [0]_Temp. " xfId="287"/>
    <cellStyle name="Moneda_Temp. " xfId="288"/>
    <cellStyle name="Multiple" xfId="289"/>
    <cellStyle name="NA is zero" xfId="290"/>
    <cellStyle name="Neutral 2" xfId="291"/>
    <cellStyle name="Neutral 3" xfId="292"/>
    <cellStyle name="NewStyle" xfId="293"/>
    <cellStyle name="NewStyle 2" xfId="294"/>
    <cellStyle name="NewStyle 2 2" xfId="295"/>
    <cellStyle name="NewStyle 4" xfId="296"/>
    <cellStyle name="Normal" xfId="0" builtinId="0"/>
    <cellStyle name="Normal - Style1" xfId="297"/>
    <cellStyle name="Normal [0]" xfId="298"/>
    <cellStyle name="Normal [1]" xfId="299"/>
    <cellStyle name="Normal [2]" xfId="300"/>
    <cellStyle name="Normal [3]" xfId="301"/>
    <cellStyle name="Normal 10" xfId="302"/>
    <cellStyle name="Normal 11" xfId="303"/>
    <cellStyle name="Normal 12" xfId="304"/>
    <cellStyle name="Normal 2" xfId="305"/>
    <cellStyle name="Normal 2 2" xfId="306"/>
    <cellStyle name="Normal 2 2 2" xfId="307"/>
    <cellStyle name="Normal 2 3" xfId="308"/>
    <cellStyle name="Normal 3" xfId="309"/>
    <cellStyle name="Normal 3 2" xfId="310"/>
    <cellStyle name="Normal 4" xfId="311"/>
    <cellStyle name="Normal 4 2" xfId="312"/>
    <cellStyle name="Normal 5" xfId="313"/>
    <cellStyle name="Normal 5 2" xfId="314"/>
    <cellStyle name="Normal 6" xfId="315"/>
    <cellStyle name="Normal 7" xfId="316"/>
    <cellStyle name="Normal 8" xfId="317"/>
    <cellStyle name="Normal 9" xfId="318"/>
    <cellStyle name="Normal Bold" xfId="319"/>
    <cellStyle name="Normal Pct" xfId="320"/>
    <cellStyle name="Note 10" xfId="321"/>
    <cellStyle name="Note 2" xfId="322"/>
    <cellStyle name="Note 2 2" xfId="323"/>
    <cellStyle name="Note 3" xfId="324"/>
    <cellStyle name="Note 3 2" xfId="325"/>
    <cellStyle name="Note 4" xfId="326"/>
    <cellStyle name="Note 4 2" xfId="327"/>
    <cellStyle name="Note 5" xfId="328"/>
    <cellStyle name="Note 5 2" xfId="329"/>
    <cellStyle name="Note 6" xfId="330"/>
    <cellStyle name="Note 7" xfId="331"/>
    <cellStyle name="Note 8" xfId="332"/>
    <cellStyle name="Note 9" xfId="333"/>
    <cellStyle name="NPPESalesPct" xfId="334"/>
    <cellStyle name="NWI%S" xfId="335"/>
    <cellStyle name="Output 2" xfId="336"/>
    <cellStyle name="Output 3" xfId="337"/>
    <cellStyle name="pc1" xfId="338"/>
    <cellStyle name="pcent" xfId="339"/>
    <cellStyle name="Percent" xfId="1" builtinId="5"/>
    <cellStyle name="Percent (1)" xfId="340"/>
    <cellStyle name="Percent [0]" xfId="341"/>
    <cellStyle name="Percent [1]" xfId="342"/>
    <cellStyle name="Percent [2]" xfId="343"/>
    <cellStyle name="Percent 2" xfId="344"/>
    <cellStyle name="Percent 3" xfId="345"/>
    <cellStyle name="Percent 4" xfId="346"/>
    <cellStyle name="Percent2" xfId="347"/>
    <cellStyle name="PercentChange" xfId="348"/>
    <cellStyle name="PercentPresentation" xfId="349"/>
    <cellStyle name="PercentSales" xfId="350"/>
    <cellStyle name="POPS" xfId="351"/>
    <cellStyle name="PresentationZero" xfId="352"/>
    <cellStyle name="Price" xfId="353"/>
    <cellStyle name="RatioX" xfId="354"/>
    <cellStyle name="Red font" xfId="355"/>
    <cellStyle name="ScripFactor" xfId="356"/>
    <cellStyle name="SectionHeading" xfId="357"/>
    <cellStyle name="Shares" xfId="358"/>
    <cellStyle name="Sin Nada" xfId="359"/>
    <cellStyle name="Standard_BASICS" xfId="360"/>
    <cellStyle name="Strange" xfId="361"/>
    <cellStyle name="Style 21" xfId="362"/>
    <cellStyle name="Style 22" xfId="363"/>
    <cellStyle name="Style 23" xfId="364"/>
    <cellStyle name="Style 24" xfId="365"/>
    <cellStyle name="Style 25" xfId="366"/>
    <cellStyle name="Style 26" xfId="367"/>
    <cellStyle name="Style 27" xfId="368"/>
    <cellStyle name="Style 28" xfId="369"/>
    <cellStyle name="Style 29" xfId="370"/>
    <cellStyle name="Style 30" xfId="371"/>
    <cellStyle name="Style 31" xfId="372"/>
    <cellStyle name="Style 32" xfId="373"/>
    <cellStyle name="Style 33" xfId="374"/>
    <cellStyle name="Style 34" xfId="375"/>
    <cellStyle name="Style 35" xfId="376"/>
    <cellStyle name="Style 36" xfId="377"/>
    <cellStyle name="Style 39" xfId="378"/>
    <cellStyle name="Subtotal_right" xfId="379"/>
    <cellStyle name="Test [green]" xfId="380"/>
    <cellStyle name="Text" xfId="381"/>
    <cellStyle name="TFCF" xfId="382"/>
    <cellStyle name="Title2" xfId="383"/>
    <cellStyle name="TitleII" xfId="384"/>
    <cellStyle name="Titles" xfId="385"/>
    <cellStyle name="Total 2" xfId="386"/>
    <cellStyle name="Total 3" xfId="387"/>
    <cellStyle name="Underline 2" xfId="388"/>
    <cellStyle name="Währung [0]_Consol" xfId="389"/>
    <cellStyle name="Währung_Consol" xfId="390"/>
    <cellStyle name="Warning Text 2" xfId="391"/>
    <cellStyle name="Warning Text 3" xfId="392"/>
    <cellStyle name="White" xfId="393"/>
    <cellStyle name="WholeNumber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mer/Packaged%20Foods/FOODS/Companies/kellogg/K%20Models/K%209-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rokers%20&amp;%20Asset%20Managers\Brokers%20and%20Universal%20Banks\Industry%20Notes\Revenues%20and%20Expenses\Investment%20Banking%20Revenue%20and%20Expenses%202012Q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Capital%20Markets%20Monthly\Marketing%20Slide%20Exhib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Brokers%20and%20Universal%20Banks\Industry\Top%2010%202015\Kai%202015%20Outlook%20Exhibi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Capital%20Markets%20Monthly\IB%20Revenue%20Snapshots%20Q3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SNL%20FINANCIAL/SNLXL/SNLXLAddin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US Image"/>
      <sheetName val="CoSnapshot"/>
      <sheetName val="Ann. Inc"/>
      <sheetName val="CostSavings"/>
      <sheetName val="IncStat"/>
      <sheetName val="cashflow"/>
      <sheetName val="BalSht"/>
      <sheetName val="Currency Analysis"/>
      <sheetName val="Portfolio Analysis"/>
      <sheetName val="SalesBreakdown"/>
      <sheetName val="~#%%£-ML-RANGES"/>
      <sheetName val="Valuation"/>
      <sheetName val="1Q"/>
      <sheetName val="2Q"/>
      <sheetName val="3Q"/>
      <sheetName val="4Q"/>
      <sheetName val="Disclaimer"/>
      <sheetName val="Highlights (2)"/>
      <sheetName val="CUS Image (GIN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hart Data Consolidated"/>
      <sheetName val="Chart Data IB"/>
      <sheetName val="Chart Data IB ex-CVA"/>
      <sheetName val="Global Wholesale Market Revenue"/>
      <sheetName val="DuPont ROE"/>
      <sheetName val="McKinsey ROE"/>
      <sheetName val="IB Comparison"/>
      <sheetName val="IB Rev Expense Exhibit"/>
      <sheetName val="IB Revs Expense ex CVA Exhibit"/>
      <sheetName val="IB Profitability"/>
      <sheetName val="IB Profitability ex-CVA"/>
      <sheetName val="Headcount Exhibit"/>
      <sheetName val="IB Rev Headcount Gap Profits"/>
      <sheetName val="Cost Saves Headcount Comments"/>
      <sheetName val="Consensus Estimates"/>
      <sheetName val="IMF World and US GDP"/>
      <sheetName val="Forecasts"/>
      <sheetName val="Headcount Forecast"/>
      <sheetName val="GDP Revenue Outlook Exhibits"/>
      <sheetName val="World GDP Data"/>
      <sheetName val="Bloomberg Data"/>
      <sheetName val="Net Revenue"/>
      <sheetName val="Provision for Loan Losses"/>
      <sheetName val="Compensation"/>
      <sheetName val="Non-Comp Expense"/>
      <sheetName val="Total Operating Expenses"/>
      <sheetName val="Op Income"/>
      <sheetName val="Pretax Income"/>
      <sheetName val="Taxes"/>
      <sheetName val="Net Income"/>
      <sheetName val="Occupancy Equipment"/>
      <sheetName val="Technology"/>
      <sheetName val="Marketing"/>
      <sheetName val="Professional Services"/>
      <sheetName val="Headcount"/>
      <sheetName val="Total Assets"/>
      <sheetName val="RWA"/>
      <sheetName val="RWA to Tot Assets"/>
      <sheetName val="Common Equity"/>
      <sheetName val="Tangible Common Equity"/>
      <sheetName val="Deposits"/>
      <sheetName val="Short Term Debt"/>
      <sheetName val="Long Term Debt"/>
      <sheetName val="IB Net Revenue"/>
      <sheetName val="IB Net Revenue ex-CVADVA"/>
      <sheetName val="IB Compensation"/>
      <sheetName val="IB Total Expense"/>
      <sheetName val="IB Compensation Ratio"/>
      <sheetName val="IB Cost Efficiency Ratio"/>
      <sheetName val="IB Pre-tax Income"/>
      <sheetName val="IB Pre-tax Income ex-CVA"/>
      <sheetName val="IB Pre-tax Margins"/>
      <sheetName val="IB Pre-tax Margins ex-CVA"/>
      <sheetName val="IB Allocated Equity"/>
      <sheetName val="IB Economic Capital"/>
      <sheetName val="IB Total Assets"/>
      <sheetName val="IB Headcount"/>
      <sheetName val="FX Rates Daily"/>
      <sheetName val="FX Rates Annual"/>
      <sheetName val="SNL Data"/>
      <sheetName val="Coalition Outlook Survey"/>
      <sheetName val="Coalition Rev Headcount"/>
      <sheetName val="Capital Markets Activity"/>
      <sheetName val="IB Rev Estimates"/>
      <sheetName val="Comp Declines as % of Total"/>
      <sheetName val="JPM IB"/>
      <sheetName val="BAC GB&amp;M"/>
      <sheetName val="MS IB"/>
      <sheetName val="C S&amp;B"/>
      <sheetName val="GS ex-IM"/>
      <sheetName val="Dealogic Quarterly"/>
      <sheetName val="Capital Markets SA"/>
      <sheetName val="Revenue Seas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">
          <cell r="B5" t="str">
            <v>Year</v>
          </cell>
          <cell r="C5" t="str">
            <v>EUR</v>
          </cell>
          <cell r="D5" t="str">
            <v>GBP</v>
          </cell>
          <cell r="E5" t="str">
            <v>CHF</v>
          </cell>
        </row>
        <row r="6">
          <cell r="B6">
            <v>1988</v>
          </cell>
          <cell r="C6">
            <v>1.1890475095785435</v>
          </cell>
          <cell r="D6">
            <v>1.7811540229885057</v>
          </cell>
          <cell r="E6">
            <v>1.4639681992337166</v>
          </cell>
        </row>
        <row r="7">
          <cell r="B7">
            <v>1989</v>
          </cell>
          <cell r="C7">
            <v>1.1164646153846163</v>
          </cell>
          <cell r="D7">
            <v>1.6395930769230769</v>
          </cell>
          <cell r="E7">
            <v>1.6362350000000003</v>
          </cell>
        </row>
        <row r="8">
          <cell r="B8">
            <v>1990</v>
          </cell>
          <cell r="C8">
            <v>1.2992260536398472</v>
          </cell>
          <cell r="D8">
            <v>1.7863099616858233</v>
          </cell>
          <cell r="E8">
            <v>1.3896065134099604</v>
          </cell>
        </row>
        <row r="9">
          <cell r="B9">
            <v>1991</v>
          </cell>
          <cell r="C9">
            <v>1.263527586206896</v>
          </cell>
          <cell r="D9">
            <v>1.7692796934865889</v>
          </cell>
          <cell r="E9">
            <v>1.4345409961685824</v>
          </cell>
        </row>
        <row r="10">
          <cell r="B10">
            <v>1992</v>
          </cell>
          <cell r="C10">
            <v>1.3248980916030546</v>
          </cell>
          <cell r="D10">
            <v>1.7658519083969468</v>
          </cell>
          <cell r="E10">
            <v>1.4060912213740451</v>
          </cell>
        </row>
        <row r="11">
          <cell r="B11">
            <v>1993</v>
          </cell>
          <cell r="C11">
            <v>1.1914865900383145</v>
          </cell>
          <cell r="D11">
            <v>1.5030459770114943</v>
          </cell>
          <cell r="E11">
            <v>1.4776819923371647</v>
          </cell>
        </row>
        <row r="12">
          <cell r="B12">
            <v>1994</v>
          </cell>
          <cell r="C12">
            <v>1.2053173076923074</v>
          </cell>
          <cell r="D12">
            <v>1.5327138461538465</v>
          </cell>
          <cell r="E12">
            <v>1.3661346153846152</v>
          </cell>
        </row>
        <row r="13">
          <cell r="B13">
            <v>1995</v>
          </cell>
          <cell r="C13">
            <v>1.3261803846153835</v>
          </cell>
          <cell r="D13">
            <v>1.578395</v>
          </cell>
          <cell r="E13">
            <v>1.181828076923078</v>
          </cell>
        </row>
        <row r="14">
          <cell r="B14">
            <v>1996</v>
          </cell>
          <cell r="C14">
            <v>1.2914553435114511</v>
          </cell>
          <cell r="D14">
            <v>1.5618301526717548</v>
          </cell>
          <cell r="E14">
            <v>1.2359645038167935</v>
          </cell>
        </row>
        <row r="15">
          <cell r="B15">
            <v>1997</v>
          </cell>
          <cell r="C15">
            <v>1.1321386973180079</v>
          </cell>
          <cell r="D15">
            <v>1.6385302681992329</v>
          </cell>
          <cell r="E15">
            <v>1.4504164750957853</v>
          </cell>
        </row>
        <row r="16">
          <cell r="B16">
            <v>1998</v>
          </cell>
          <cell r="C16">
            <v>1.114505363984674</v>
          </cell>
          <cell r="D16">
            <v>1.6569325670498087</v>
          </cell>
          <cell r="E16">
            <v>1.4496689655172417</v>
          </cell>
        </row>
        <row r="17">
          <cell r="B17">
            <v>1999</v>
          </cell>
          <cell r="C17">
            <v>1.0661026819923372</v>
          </cell>
          <cell r="D17">
            <v>1.6177563218390814</v>
          </cell>
          <cell r="E17">
            <v>1.5033704980842906</v>
          </cell>
        </row>
        <row r="18">
          <cell r="B18">
            <v>2000</v>
          </cell>
          <cell r="C18">
            <v>0.92403692307692253</v>
          </cell>
          <cell r="D18">
            <v>1.5159792307692301</v>
          </cell>
          <cell r="E18">
            <v>1.6888546153846165</v>
          </cell>
        </row>
        <row r="19">
          <cell r="B19">
            <v>2001</v>
          </cell>
          <cell r="C19">
            <v>0.89596896551724114</v>
          </cell>
          <cell r="D19">
            <v>1.4407172413793115</v>
          </cell>
          <cell r="E19">
            <v>1.6872486590038327</v>
          </cell>
        </row>
        <row r="20">
          <cell r="B20">
            <v>2002</v>
          </cell>
          <cell r="C20">
            <v>0.94546628352490447</v>
          </cell>
          <cell r="D20">
            <v>1.5037777777777779</v>
          </cell>
          <cell r="E20">
            <v>1.5567413793103442</v>
          </cell>
        </row>
        <row r="21">
          <cell r="B21">
            <v>2003</v>
          </cell>
          <cell r="C21">
            <v>1.1318628352490416</v>
          </cell>
          <cell r="D21">
            <v>1.6350475095785439</v>
          </cell>
          <cell r="E21">
            <v>1.3454195402298852</v>
          </cell>
        </row>
        <row r="22">
          <cell r="B22">
            <v>2004</v>
          </cell>
          <cell r="C22">
            <v>1.244188931297709</v>
          </cell>
          <cell r="D22">
            <v>1.8329835877862595</v>
          </cell>
          <cell r="E22">
            <v>1.2424797709923663</v>
          </cell>
        </row>
        <row r="23">
          <cell r="B23">
            <v>2005</v>
          </cell>
          <cell r="C23">
            <v>1.2444888461538468</v>
          </cell>
          <cell r="D23">
            <v>1.8194323076923087</v>
          </cell>
          <cell r="E23">
            <v>1.2462026923076923</v>
          </cell>
        </row>
        <row r="24">
          <cell r="B24">
            <v>2006</v>
          </cell>
          <cell r="C24">
            <v>1.2562146153846143</v>
          </cell>
          <cell r="D24">
            <v>1.8429780769230772</v>
          </cell>
          <cell r="E24">
            <v>1.2531338461538468</v>
          </cell>
        </row>
        <row r="25">
          <cell r="B25">
            <v>2007</v>
          </cell>
          <cell r="C25">
            <v>1.3704318007662826</v>
          </cell>
          <cell r="D25">
            <v>2.0015015325670502</v>
          </cell>
          <cell r="E25">
            <v>1.2002394636015319</v>
          </cell>
        </row>
        <row r="26">
          <cell r="B26">
            <v>2008</v>
          </cell>
          <cell r="C26">
            <v>1.4713824427480917</v>
          </cell>
          <cell r="D26">
            <v>1.8527835877862597</v>
          </cell>
          <cell r="E26">
            <v>1.0824477099236642</v>
          </cell>
        </row>
        <row r="27">
          <cell r="B27">
            <v>2009</v>
          </cell>
          <cell r="C27">
            <v>1.3944091954022992</v>
          </cell>
          <cell r="D27">
            <v>1.5654026819923377</v>
          </cell>
          <cell r="E27">
            <v>1.0855000000000001</v>
          </cell>
        </row>
        <row r="28">
          <cell r="B28">
            <v>2010</v>
          </cell>
          <cell r="C28">
            <v>1.3269398467432947</v>
          </cell>
          <cell r="D28">
            <v>1.5455773946360152</v>
          </cell>
          <cell r="E28">
            <v>1.0423762452107295</v>
          </cell>
        </row>
        <row r="29">
          <cell r="B29">
            <v>2011</v>
          </cell>
          <cell r="C29">
            <v>1.3926465384615385</v>
          </cell>
          <cell r="D29">
            <v>1.6043488461538464</v>
          </cell>
          <cell r="E29">
            <v>0.88676192307692314</v>
          </cell>
        </row>
        <row r="30">
          <cell r="B30">
            <v>2012</v>
          </cell>
          <cell r="C30">
            <v>1.2849674999999998</v>
          </cell>
          <cell r="D30">
            <v>1.5737743749999997</v>
          </cell>
          <cell r="E30">
            <v>0.93779749999999995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D3" t="str">
            <v>Q1</v>
          </cell>
        </row>
      </sheetData>
      <sheetData sheetId="7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__FDSCACHE__"/>
      <sheetName val="IMF World and US GDP"/>
      <sheetName val="Global Wholesale Market Revenue"/>
      <sheetName val="Operating Leverage"/>
      <sheetName val="ROE ROTE 1Q13"/>
      <sheetName val="ROE ROTE 2Q13"/>
      <sheetName val="ROE ROTE 3Q13"/>
      <sheetName val="ROE ROTE 4Q13"/>
      <sheetName val="ROE ROTE 1Q14"/>
      <sheetName val="ROE ROTE 2Q14"/>
      <sheetName val="ROE ROTE 3Q14"/>
      <sheetName val="ROE ROTE 2013"/>
      <sheetName val="Balance Sheet Efficiency"/>
      <sheetName val="FICC Rev Breakdown"/>
      <sheetName val="Worldwide Bond Mutual Funds"/>
      <sheetName val="Global Debt Outstanding v1"/>
      <sheetName val="Global Debt Outstanding v2"/>
      <sheetName val="Sheet1"/>
      <sheetName val="FICC Breakdown"/>
      <sheetName val="FICC Revenue"/>
      <sheetName val="FICC RWA Update 2Q13"/>
      <sheetName val="MSSB Buy In"/>
      <sheetName val="Excess Capital Build Exhibit"/>
      <sheetName val="NPV Excess Capital Exhibit"/>
      <sheetName val="__FDS_SIDEBAR__"/>
      <sheetName val="Dividend Yield"/>
      <sheetName val="SNL Data EPS Dividend"/>
      <sheetName val="McKinsey Cap Mkts ROE"/>
      <sheetName val="EPS Price Correlation"/>
      <sheetName val="SN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 xml:space="preserve"> Table C1. Total Gross Public Sector Debt Position by Sector (US$ millions) 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0">
          <cell r="C10">
            <v>100369</v>
          </cell>
          <cell r="D10" t="str">
            <v>BAC</v>
          </cell>
          <cell r="E10">
            <v>0.05</v>
          </cell>
          <cell r="F10">
            <v>0.28999999999999998</v>
          </cell>
          <cell r="G10">
            <v>-0.05</v>
          </cell>
          <cell r="H10">
            <v>0.19</v>
          </cell>
          <cell r="I10">
            <v>-0.04</v>
          </cell>
          <cell r="J10" t="str">
            <v>#PEND</v>
          </cell>
          <cell r="K10">
            <v>0.1</v>
          </cell>
          <cell r="L10">
            <v>0</v>
          </cell>
        </row>
        <row r="11">
          <cell r="C11">
            <v>100144</v>
          </cell>
          <cell r="D11" t="str">
            <v>BK</v>
          </cell>
          <cell r="E11">
            <v>0.17</v>
          </cell>
          <cell r="F11">
            <v>0.44</v>
          </cell>
          <cell r="G11">
            <v>0.56999999999999995</v>
          </cell>
          <cell r="H11">
            <v>0.48</v>
          </cell>
          <cell r="I11">
            <v>0.93</v>
          </cell>
          <cell r="J11" t="str">
            <v>#PEND</v>
          </cell>
          <cell r="K11">
            <v>1.98</v>
          </cell>
          <cell r="L11">
            <v>0</v>
          </cell>
        </row>
        <row r="12">
          <cell r="C12">
            <v>4048287</v>
          </cell>
          <cell r="D12" t="str">
            <v>BLK</v>
          </cell>
          <cell r="E12">
            <v>1.93</v>
          </cell>
          <cell r="F12">
            <v>4.8600000000000003</v>
          </cell>
          <cell r="G12">
            <v>4.4000000000000004</v>
          </cell>
          <cell r="H12">
            <v>4.72</v>
          </cell>
          <cell r="I12">
            <v>5.37</v>
          </cell>
          <cell r="J12" t="str">
            <v>#PEND</v>
          </cell>
          <cell r="K12">
            <v>14.490000000000002</v>
          </cell>
          <cell r="L12">
            <v>0</v>
          </cell>
        </row>
        <row r="13">
          <cell r="C13">
            <v>4041896</v>
          </cell>
          <cell r="D13" t="str">
            <v>C</v>
          </cell>
          <cell r="E13">
            <v>0.01</v>
          </cell>
          <cell r="F13">
            <v>0.77</v>
          </cell>
          <cell r="G13">
            <v>1.23</v>
          </cell>
          <cell r="H13">
            <v>0.03</v>
          </cell>
          <cell r="I13">
            <v>0.88</v>
          </cell>
          <cell r="J13" t="str">
            <v>#PEND</v>
          </cell>
          <cell r="K13">
            <v>2.14</v>
          </cell>
          <cell r="L13">
            <v>0</v>
          </cell>
        </row>
        <row r="14">
          <cell r="C14">
            <v>102719</v>
          </cell>
          <cell r="D14" t="str">
            <v>BEN</v>
          </cell>
          <cell r="E14">
            <v>0.65</v>
          </cell>
          <cell r="F14">
            <v>0.96</v>
          </cell>
          <cell r="G14">
            <v>0.89</v>
          </cell>
          <cell r="H14">
            <v>0.92</v>
          </cell>
          <cell r="I14">
            <v>1.02</v>
          </cell>
          <cell r="J14" t="str">
            <v>#PEND</v>
          </cell>
          <cell r="K14">
            <v>2.83</v>
          </cell>
          <cell r="L14">
            <v>0</v>
          </cell>
          <cell r="M14">
            <v>2.77</v>
          </cell>
        </row>
        <row r="15">
          <cell r="C15">
            <v>4039450</v>
          </cell>
          <cell r="D15" t="str">
            <v>GS</v>
          </cell>
          <cell r="E15">
            <v>0.6</v>
          </cell>
          <cell r="F15">
            <v>4.5999999999999996</v>
          </cell>
          <cell r="G15">
            <v>4.0199999999999996</v>
          </cell>
          <cell r="H15">
            <v>4.0999999999999996</v>
          </cell>
          <cell r="I15">
            <v>4.57</v>
          </cell>
          <cell r="J15" t="str">
            <v>#PEND</v>
          </cell>
          <cell r="K15">
            <v>12.69</v>
          </cell>
          <cell r="L15">
            <v>0</v>
          </cell>
        </row>
        <row r="16">
          <cell r="C16">
            <v>103661</v>
          </cell>
          <cell r="D16" t="str">
            <v>IVZ</v>
          </cell>
          <cell r="E16">
            <v>0.25</v>
          </cell>
          <cell r="F16">
            <v>0.64</v>
          </cell>
          <cell r="G16">
            <v>0.43</v>
          </cell>
          <cell r="H16">
            <v>0.63</v>
          </cell>
          <cell r="I16">
            <v>0.59</v>
          </cell>
          <cell r="J16" t="str">
            <v>#PEND</v>
          </cell>
          <cell r="K16">
            <v>1.65</v>
          </cell>
          <cell r="L16">
            <v>0</v>
          </cell>
          <cell r="M16">
            <v>1.7000000000000002</v>
          </cell>
        </row>
        <row r="17">
          <cell r="C17">
            <v>100201</v>
          </cell>
          <cell r="D17" t="str">
            <v>JPM</v>
          </cell>
          <cell r="E17">
            <v>0.4</v>
          </cell>
          <cell r="F17">
            <v>1.3</v>
          </cell>
          <cell r="G17">
            <v>1.28</v>
          </cell>
          <cell r="H17">
            <v>1.46</v>
          </cell>
          <cell r="I17">
            <v>1.36</v>
          </cell>
          <cell r="J17" t="str">
            <v>#PEND</v>
          </cell>
          <cell r="K17">
            <v>4.1000000000000005</v>
          </cell>
          <cell r="L17">
            <v>0</v>
          </cell>
        </row>
        <row r="18">
          <cell r="C18">
            <v>102761</v>
          </cell>
          <cell r="D18" t="str">
            <v>LM</v>
          </cell>
          <cell r="E18">
            <v>0.16</v>
          </cell>
          <cell r="F18">
            <v>0.67</v>
          </cell>
          <cell r="G18">
            <v>0.57999999999999996</v>
          </cell>
          <cell r="H18">
            <v>0.61</v>
          </cell>
          <cell r="I18">
            <v>0.04</v>
          </cell>
          <cell r="J18" t="str">
            <v>#PEND</v>
          </cell>
          <cell r="K18">
            <v>1.23</v>
          </cell>
          <cell r="L18">
            <v>0</v>
          </cell>
          <cell r="M18">
            <v>1.77</v>
          </cell>
        </row>
        <row r="19">
          <cell r="C19">
            <v>103042</v>
          </cell>
          <cell r="D19" t="str">
            <v>MS</v>
          </cell>
          <cell r="E19">
            <v>0.1</v>
          </cell>
          <cell r="F19">
            <v>0.02</v>
          </cell>
          <cell r="G19">
            <v>0.74</v>
          </cell>
          <cell r="H19">
            <v>0.92</v>
          </cell>
          <cell r="I19">
            <v>0.83</v>
          </cell>
          <cell r="J19" t="str">
            <v>#PEND</v>
          </cell>
          <cell r="K19">
            <v>2.4900000000000002</v>
          </cell>
          <cell r="L19">
            <v>0</v>
          </cell>
        </row>
        <row r="20">
          <cell r="C20">
            <v>100386</v>
          </cell>
          <cell r="D20" t="str">
            <v>NTRS</v>
          </cell>
          <cell r="E20">
            <v>0.33</v>
          </cell>
          <cell r="F20">
            <v>0.7</v>
          </cell>
          <cell r="G20">
            <v>0.75</v>
          </cell>
          <cell r="H20">
            <v>0.75</v>
          </cell>
          <cell r="I20">
            <v>0.84</v>
          </cell>
          <cell r="J20" t="str">
            <v>#PEND</v>
          </cell>
          <cell r="K20">
            <v>2.34</v>
          </cell>
          <cell r="L20">
            <v>0</v>
          </cell>
        </row>
        <row r="21">
          <cell r="C21">
            <v>100447</v>
          </cell>
          <cell r="D21" t="str">
            <v>STT</v>
          </cell>
          <cell r="E21">
            <v>0.3</v>
          </cell>
          <cell r="F21">
            <v>1.22</v>
          </cell>
          <cell r="G21">
            <v>0.81</v>
          </cell>
          <cell r="H21">
            <v>1.38</v>
          </cell>
          <cell r="I21">
            <v>1.26</v>
          </cell>
          <cell r="J21" t="str">
            <v>#PEND</v>
          </cell>
          <cell r="K21">
            <v>3.45</v>
          </cell>
          <cell r="L21">
            <v>0</v>
          </cell>
        </row>
        <row r="22">
          <cell r="C22">
            <v>4055767</v>
          </cell>
          <cell r="D22" t="str">
            <v>TROW</v>
          </cell>
          <cell r="E22">
            <v>0.44</v>
          </cell>
          <cell r="F22">
            <v>1.06</v>
          </cell>
          <cell r="G22">
            <v>1.1200000000000001</v>
          </cell>
          <cell r="H22">
            <v>1.1299999999999999</v>
          </cell>
          <cell r="I22">
            <v>1.1200000000000001</v>
          </cell>
          <cell r="J22" t="str">
            <v>#PEND</v>
          </cell>
          <cell r="K22">
            <v>3.37</v>
          </cell>
          <cell r="L22">
            <v>0</v>
          </cell>
          <cell r="M22">
            <v>3.31</v>
          </cell>
        </row>
      </sheetData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BAC NII Sensitivity"/>
      <sheetName val="IPO and MA"/>
      <sheetName val="CEO Confidence Data"/>
      <sheetName val="CEO Confidence Chart"/>
      <sheetName val="Industry FICC Revenue"/>
      <sheetName val="FICC Market Share"/>
      <sheetName val="Volatility Index Data"/>
      <sheetName val="FICC Volality"/>
      <sheetName val="Regulatory Capital Ratios"/>
      <sheetName val="Return vs Growth"/>
      <sheetName val="ROE vs Target"/>
      <sheetName val="Scatterplot ROE"/>
      <sheetName val="DuPont"/>
      <sheetName val="SNL ROE"/>
      <sheetName val="Securities"/>
      <sheetName val="DFA Progress"/>
      <sheetName val="BofA HY Master II OA Spread"/>
      <sheetName val="EPS Growth Valuations"/>
      <sheetName val="Lookup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D3" t="str">
            <v>Ticker</v>
          </cell>
          <cell r="E3" t="str">
            <v>ROACE.2009Y</v>
          </cell>
          <cell r="F3" t="str">
            <v>ROACE.2010Y</v>
          </cell>
          <cell r="G3" t="str">
            <v>ROACE.2011Y</v>
          </cell>
          <cell r="H3" t="str">
            <v>ROACE.2012Y</v>
          </cell>
          <cell r="I3" t="str">
            <v>ROACE.2013Y</v>
          </cell>
          <cell r="J3" t="str">
            <v>ROACE.YTD</v>
          </cell>
          <cell r="K3" t="str">
            <v>CommonEquity.2008Y</v>
          </cell>
          <cell r="L3" t="str">
            <v>CommonEquity.2009Y</v>
          </cell>
          <cell r="M3" t="str">
            <v>CommonEquity.2010Y</v>
          </cell>
          <cell r="N3" t="str">
            <v>CommonEquity.2011Y</v>
          </cell>
          <cell r="O3" t="str">
            <v>CommonEquity.2012Y</v>
          </cell>
          <cell r="P3" t="str">
            <v>CommonEquity.2013Y</v>
          </cell>
          <cell r="Q3" t="str">
            <v>CommonEquity.YTD</v>
          </cell>
          <cell r="R3" t="str">
            <v>TotalRevenue.2008Y</v>
          </cell>
          <cell r="S3" t="str">
            <v>TotalRevenue.2009Y</v>
          </cell>
          <cell r="T3" t="str">
            <v>TotalRevenue.2010Y</v>
          </cell>
          <cell r="U3" t="str">
            <v>TotalRevenue.2011Y</v>
          </cell>
          <cell r="V3" t="str">
            <v>TotalRevenue.2012Y</v>
          </cell>
          <cell r="W3" t="str">
            <v>TotalRevenue.2013Y</v>
          </cell>
          <cell r="X3" t="str">
            <v>TotalRevenue.YTD</v>
          </cell>
          <cell r="Y3" t="str">
            <v>NetIncome.2008Y</v>
          </cell>
          <cell r="Z3" t="str">
            <v>NetIncome.2009Y</v>
          </cell>
          <cell r="AA3" t="str">
            <v>NetIncome.2010Y</v>
          </cell>
          <cell r="AB3" t="str">
            <v>NetIncome.2011Y</v>
          </cell>
          <cell r="AC3" t="str">
            <v>NetIncome.2012Y</v>
          </cell>
          <cell r="AD3" t="str">
            <v>NetIncome.2013Y</v>
          </cell>
          <cell r="AE3" t="str">
            <v>NetIncome.YTD</v>
          </cell>
          <cell r="AF3" t="str">
            <v>TotalAssets.2008Y</v>
          </cell>
          <cell r="AG3" t="str">
            <v>TotalAssets.2009Y</v>
          </cell>
          <cell r="AH3" t="str">
            <v>TotalAssets.2010Y</v>
          </cell>
          <cell r="AI3" t="str">
            <v>TotalAssets.2011Y</v>
          </cell>
          <cell r="AJ3" t="str">
            <v>TotalAssets.2012Y</v>
          </cell>
          <cell r="AK3" t="str">
            <v>TotalAssets.2013Y</v>
          </cell>
          <cell r="AL3" t="str">
            <v>TotalAssets.YTD</v>
          </cell>
        </row>
        <row r="9">
          <cell r="D9" t="str">
            <v>BAC</v>
          </cell>
          <cell r="E9">
            <v>-1.21236724304397</v>
          </cell>
          <cell r="F9">
            <v>-1.6921659159512099</v>
          </cell>
          <cell r="G9">
            <v>3.9677103949288903E-2</v>
          </cell>
          <cell r="H9">
            <v>1.2709911703441501</v>
          </cell>
          <cell r="I9">
            <v>4.6139480381566198</v>
          </cell>
          <cell r="J9">
            <v>0.629539514176225</v>
          </cell>
          <cell r="K9">
            <v>139351</v>
          </cell>
          <cell r="L9">
            <v>194236</v>
          </cell>
          <cell r="M9">
            <v>211686</v>
          </cell>
          <cell r="N9">
            <v>211704</v>
          </cell>
          <cell r="O9">
            <v>218188</v>
          </cell>
          <cell r="P9">
            <v>219333</v>
          </cell>
          <cell r="Q9">
            <v>220768</v>
          </cell>
          <cell r="R9">
            <v>72782</v>
          </cell>
          <cell r="S9">
            <v>119643</v>
          </cell>
          <cell r="T9">
            <v>110220</v>
          </cell>
          <cell r="U9">
            <v>93454</v>
          </cell>
          <cell r="V9">
            <v>83334</v>
          </cell>
          <cell r="W9">
            <v>88942</v>
          </cell>
          <cell r="X9">
            <v>65522</v>
          </cell>
          <cell r="Y9">
            <v>4008</v>
          </cell>
          <cell r="Z9">
            <v>6276</v>
          </cell>
          <cell r="AA9">
            <v>-2238</v>
          </cell>
          <cell r="AB9">
            <v>1446</v>
          </cell>
          <cell r="AC9">
            <v>4188</v>
          </cell>
          <cell r="AD9">
            <v>11431</v>
          </cell>
          <cell r="AE9">
            <v>1783</v>
          </cell>
          <cell r="AF9">
            <v>1817943</v>
          </cell>
          <cell r="AG9">
            <v>2230232</v>
          </cell>
          <cell r="AH9">
            <v>2264909</v>
          </cell>
          <cell r="AI9">
            <v>2129046</v>
          </cell>
          <cell r="AJ9">
            <v>2209974</v>
          </cell>
          <cell r="AK9">
            <v>2102273</v>
          </cell>
          <cell r="AL9">
            <v>2123613</v>
          </cell>
        </row>
        <row r="10">
          <cell r="D10" t="str">
            <v>C</v>
          </cell>
          <cell r="E10">
            <v>-9.2484045851921497</v>
          </cell>
          <cell r="F10">
            <v>6.7114394162076501</v>
          </cell>
          <cell r="G10">
            <v>6.2550240433789197</v>
          </cell>
          <cell r="H10">
            <v>4.0072931754281296</v>
          </cell>
          <cell r="I10">
            <v>6.8698976740801196</v>
          </cell>
          <cell r="J10">
            <v>4.3058696834331904</v>
          </cell>
          <cell r="K10">
            <v>70966</v>
          </cell>
          <cell r="L10">
            <v>152388</v>
          </cell>
          <cell r="M10">
            <v>163156</v>
          </cell>
          <cell r="N10">
            <v>177494</v>
          </cell>
          <cell r="O10">
            <v>186487</v>
          </cell>
          <cell r="P10">
            <v>197601</v>
          </cell>
          <cell r="Q10">
            <v>203304</v>
          </cell>
          <cell r="R10">
            <v>51195</v>
          </cell>
          <cell r="S10">
            <v>81032</v>
          </cell>
          <cell r="T10">
            <v>86730</v>
          </cell>
          <cell r="U10">
            <v>78593</v>
          </cell>
          <cell r="V10">
            <v>70452</v>
          </cell>
          <cell r="W10">
            <v>77551</v>
          </cell>
          <cell r="X10">
            <v>59836</v>
          </cell>
          <cell r="Y10">
            <v>-28027</v>
          </cell>
          <cell r="Z10">
            <v>-1511</v>
          </cell>
          <cell r="AA10">
            <v>10883</v>
          </cell>
          <cell r="AB10">
            <v>11215</v>
          </cell>
          <cell r="AC10">
            <v>7760</v>
          </cell>
          <cell r="AD10">
            <v>13900</v>
          </cell>
          <cell r="AE10">
            <v>7117</v>
          </cell>
          <cell r="AF10">
            <v>1938470</v>
          </cell>
          <cell r="AG10">
            <v>1856646</v>
          </cell>
          <cell r="AH10">
            <v>1913902</v>
          </cell>
          <cell r="AI10">
            <v>1873878</v>
          </cell>
          <cell r="AJ10">
            <v>1864660</v>
          </cell>
          <cell r="AK10">
            <v>1880382</v>
          </cell>
          <cell r="AL10">
            <v>1882849</v>
          </cell>
        </row>
        <row r="11">
          <cell r="D11" t="str">
            <v>GS</v>
          </cell>
          <cell r="E11">
            <v>22.509415848164799</v>
          </cell>
          <cell r="F11">
            <v>11.4606240713224</v>
          </cell>
          <cell r="G11">
            <v>3.6526092144707398</v>
          </cell>
          <cell r="H11">
            <v>10.7018110305556</v>
          </cell>
          <cell r="I11">
            <v>10.9649309547125</v>
          </cell>
          <cell r="J11">
            <v>11.194164583333301</v>
          </cell>
          <cell r="K11">
            <v>46265</v>
          </cell>
          <cell r="L11">
            <v>62614</v>
          </cell>
          <cell r="M11">
            <v>69256</v>
          </cell>
          <cell r="N11">
            <v>67279</v>
          </cell>
          <cell r="O11">
            <v>69516</v>
          </cell>
          <cell r="P11">
            <v>71267</v>
          </cell>
          <cell r="Q11">
            <v>73075</v>
          </cell>
          <cell r="R11">
            <v>22222</v>
          </cell>
          <cell r="S11">
            <v>45173</v>
          </cell>
          <cell r="T11">
            <v>39161</v>
          </cell>
          <cell r="U11">
            <v>28811</v>
          </cell>
          <cell r="V11">
            <v>34163</v>
          </cell>
          <cell r="W11">
            <v>34206</v>
          </cell>
          <cell r="X11">
            <v>26840</v>
          </cell>
          <cell r="Y11">
            <v>2322</v>
          </cell>
          <cell r="Z11">
            <v>13385</v>
          </cell>
          <cell r="AA11">
            <v>8354</v>
          </cell>
          <cell r="AB11">
            <v>4442</v>
          </cell>
          <cell r="AC11">
            <v>7475</v>
          </cell>
          <cell r="AD11">
            <v>8040</v>
          </cell>
          <cell r="AE11">
            <v>6311</v>
          </cell>
          <cell r="AF11">
            <v>884547</v>
          </cell>
          <cell r="AG11">
            <v>848942</v>
          </cell>
          <cell r="AH11">
            <v>911332</v>
          </cell>
          <cell r="AI11">
            <v>923225</v>
          </cell>
          <cell r="AJ11">
            <v>938555</v>
          </cell>
          <cell r="AK11">
            <v>911507</v>
          </cell>
          <cell r="AL11">
            <v>868933</v>
          </cell>
        </row>
        <row r="12">
          <cell r="D12" t="str">
            <v>JPM</v>
          </cell>
          <cell r="E12">
            <v>6.0135843676963496</v>
          </cell>
          <cell r="F12">
            <v>9.7597820703318501</v>
          </cell>
          <cell r="G12">
            <v>10.139323352533101</v>
          </cell>
          <cell r="H12">
            <v>10.782090782850201</v>
          </cell>
          <cell r="I12">
            <v>8.4481872011975003</v>
          </cell>
          <cell r="J12">
            <v>10.1055654044918</v>
          </cell>
          <cell r="K12">
            <v>134945</v>
          </cell>
          <cell r="L12">
            <v>157213</v>
          </cell>
          <cell r="M12">
            <v>168306</v>
          </cell>
          <cell r="N12">
            <v>175773</v>
          </cell>
          <cell r="O12">
            <v>195011</v>
          </cell>
          <cell r="P12">
            <v>200020</v>
          </cell>
          <cell r="Q12">
            <v>211214</v>
          </cell>
          <cell r="R12">
            <v>67252</v>
          </cell>
          <cell r="S12">
            <v>100434</v>
          </cell>
          <cell r="T12">
            <v>102694</v>
          </cell>
          <cell r="U12">
            <v>97234</v>
          </cell>
          <cell r="V12">
            <v>97031</v>
          </cell>
          <cell r="W12">
            <v>96606</v>
          </cell>
          <cell r="X12">
            <v>71693</v>
          </cell>
          <cell r="Y12">
            <v>5605</v>
          </cell>
          <cell r="Z12">
            <v>11728</v>
          </cell>
          <cell r="AA12">
            <v>17370</v>
          </cell>
          <cell r="AB12">
            <v>18976</v>
          </cell>
          <cell r="AC12">
            <v>21284</v>
          </cell>
          <cell r="AD12">
            <v>17923</v>
          </cell>
          <cell r="AE12">
            <v>16831</v>
          </cell>
          <cell r="AF12">
            <v>2175052</v>
          </cell>
          <cell r="AG12">
            <v>2031989</v>
          </cell>
          <cell r="AH12">
            <v>2117605</v>
          </cell>
          <cell r="AI12">
            <v>2265792</v>
          </cell>
          <cell r="AJ12">
            <v>2359141</v>
          </cell>
          <cell r="AK12">
            <v>2415689</v>
          </cell>
          <cell r="AL12">
            <v>2527005</v>
          </cell>
        </row>
        <row r="13">
          <cell r="D13" t="str">
            <v>MS</v>
          </cell>
          <cell r="E13">
            <v>-2.6623224139955401</v>
          </cell>
          <cell r="F13">
            <v>8.4766150145050592</v>
          </cell>
          <cell r="G13">
            <v>3.8008900003677701</v>
          </cell>
          <cell r="H13">
            <v>-4.93193923850858E-2</v>
          </cell>
          <cell r="I13">
            <v>4.2895225785604696</v>
          </cell>
          <cell r="J13">
            <v>10.099757810083499</v>
          </cell>
          <cell r="K13">
            <v>29585</v>
          </cell>
          <cell r="L13">
            <v>37228.909</v>
          </cell>
          <cell r="M13">
            <v>47751.909</v>
          </cell>
          <cell r="N13">
            <v>60429.118000000002</v>
          </cell>
          <cell r="O13">
            <v>60489.118000000002</v>
          </cell>
          <cell r="P13">
            <v>62588.618000000002</v>
          </cell>
          <cell r="Q13">
            <v>66785.618000000002</v>
          </cell>
          <cell r="R13">
            <v>22140</v>
          </cell>
          <cell r="S13">
            <v>23183</v>
          </cell>
          <cell r="T13">
            <v>31221</v>
          </cell>
          <cell r="U13">
            <v>32227</v>
          </cell>
          <cell r="V13">
            <v>26102</v>
          </cell>
          <cell r="W13">
            <v>32417</v>
          </cell>
          <cell r="X13">
            <v>26511</v>
          </cell>
          <cell r="Y13">
            <v>1778</v>
          </cell>
          <cell r="Z13">
            <v>1406</v>
          </cell>
          <cell r="AA13">
            <v>5702</v>
          </cell>
          <cell r="AB13">
            <v>4645</v>
          </cell>
          <cell r="AC13">
            <v>716</v>
          </cell>
          <cell r="AD13">
            <v>3613</v>
          </cell>
          <cell r="AE13">
            <v>5253</v>
          </cell>
          <cell r="AF13">
            <v>676764</v>
          </cell>
          <cell r="AG13">
            <v>771462</v>
          </cell>
          <cell r="AH13">
            <v>807698</v>
          </cell>
          <cell r="AI13">
            <v>749898</v>
          </cell>
          <cell r="AJ13">
            <v>780960</v>
          </cell>
          <cell r="AK13">
            <v>832702</v>
          </cell>
          <cell r="AL13">
            <v>814511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 Data"/>
      <sheetName val="Seasonality"/>
      <sheetName val="Avg FX Rates Quarterly"/>
      <sheetName val="Advisory"/>
      <sheetName val="Equity UW"/>
      <sheetName val="Debt UW"/>
      <sheetName val="Total Investment Banking"/>
      <sheetName val="FICC Trading"/>
      <sheetName val="Equity Trading"/>
      <sheetName val="Total Cap Mkts Revs"/>
      <sheetName val="Trading Efficiency"/>
      <sheetName val="Balance Sheet"/>
      <sheetName val="Comp"/>
      <sheetName val="Summary Table"/>
      <sheetName val="Trends"/>
      <sheetName val="Euro Data"/>
      <sheetName val="Euro Data OLD"/>
      <sheetName val="FX rates Daily"/>
      <sheetName val="Period Lookup"/>
    </sheetNames>
    <sheetDataSet>
      <sheetData sheetId="0">
        <row r="76">
          <cell r="X76">
            <v>0</v>
          </cell>
        </row>
        <row r="86">
          <cell r="X86">
            <v>0</v>
          </cell>
        </row>
        <row r="96">
          <cell r="X9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NLXLAddin"/>
    </sheetNames>
    <definedNames>
      <definedName name="SNLLabel"/>
      <definedName name="SNLTable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K186"/>
  <sheetViews>
    <sheetView showGridLines="0" tabSelected="1" zoomScale="85" zoomScaleNormal="85" workbookViewId="0">
      <pane xSplit="2" ySplit="7" topLeftCell="C162" activePane="bottomRight" state="frozen"/>
      <selection pane="topRight" activeCell="C1" sqref="C1"/>
      <selection pane="bottomLeft" activeCell="A6" sqref="A6"/>
      <selection pane="bottomRight" activeCell="BB173" sqref="BB173"/>
    </sheetView>
  </sheetViews>
  <sheetFormatPr defaultRowHeight="15" outlineLevelRow="1" outlineLevelCol="1"/>
  <cols>
    <col min="1" max="1" width="1.7109375" customWidth="1"/>
    <col min="2" max="2" width="34.85546875" customWidth="1"/>
    <col min="3" max="4" width="9.28515625" bestFit="1" customWidth="1"/>
    <col min="5" max="5" width="9.7109375" customWidth="1"/>
    <col min="6" max="6" width="9.140625" customWidth="1"/>
    <col min="7" max="12" width="9.28515625" bestFit="1" customWidth="1"/>
    <col min="13" max="13" width="8.5703125" bestFit="1" customWidth="1"/>
    <col min="14" max="14" width="6.28515625" customWidth="1"/>
    <col min="15" max="15" width="10.28515625" hidden="1" customWidth="1" outlineLevel="1"/>
    <col min="16" max="18" width="9.140625" hidden="1" customWidth="1" outlineLevel="1"/>
    <col min="19" max="19" width="10.28515625" hidden="1" customWidth="1" outlineLevel="1"/>
    <col min="20" max="22" width="9.140625" hidden="1" customWidth="1" outlineLevel="1"/>
    <col min="23" max="23" width="10.28515625" hidden="1" customWidth="1" outlineLevel="1"/>
    <col min="24" max="26" width="9.140625" hidden="1" customWidth="1" outlineLevel="1"/>
    <col min="27" max="27" width="10.28515625" hidden="1" customWidth="1" outlineLevel="1"/>
    <col min="28" max="30" width="9.140625" hidden="1" customWidth="1" outlineLevel="1"/>
    <col min="31" max="31" width="10.28515625" hidden="1" customWidth="1" outlineLevel="1"/>
    <col min="32" max="34" width="9.140625" hidden="1" customWidth="1" outlineLevel="1"/>
    <col min="35" max="35" width="10.28515625" hidden="1" customWidth="1" outlineLevel="1"/>
    <col min="36" max="38" width="9.140625" hidden="1" customWidth="1" outlineLevel="1"/>
    <col min="39" max="39" width="10.28515625" hidden="1" customWidth="1" outlineLevel="1"/>
    <col min="40" max="42" width="9.140625" hidden="1" customWidth="1" outlineLevel="1"/>
    <col min="43" max="43" width="9.140625" hidden="1" customWidth="1" outlineLevel="1" collapsed="1"/>
    <col min="44" max="45" width="9.140625" hidden="1" customWidth="1" outlineLevel="1"/>
    <col min="46" max="50" width="9.140625" style="2" hidden="1" customWidth="1" outlineLevel="1"/>
    <col min="51" max="51" width="9.140625" style="2" collapsed="1"/>
    <col min="52" max="57" width="9.140625" style="2" customWidth="1"/>
    <col min="58" max="62" width="9.140625" style="2" hidden="1" customWidth="1" outlineLevel="1"/>
    <col min="63" max="63" width="1.7109375" style="2" customWidth="1" collapsed="1"/>
    <col min="64" max="68" width="9.140625" hidden="1" customWidth="1" outlineLevel="1"/>
    <col min="69" max="69" width="1.7109375" hidden="1" customWidth="1" outlineLevel="1"/>
    <col min="70" max="76" width="9.140625" hidden="1" customWidth="1" outlineLevel="1"/>
    <col min="77" max="77" width="10.28515625" customWidth="1" collapsed="1"/>
    <col min="78" max="78" width="1.7109375" customWidth="1"/>
    <col min="79" max="82" width="8" customWidth="1"/>
    <col min="83" max="83" width="1.7109375" customWidth="1"/>
    <col min="84" max="84" width="12.7109375" customWidth="1"/>
    <col min="85" max="85" width="1.7109375" customWidth="1"/>
    <col min="86" max="89" width="8" customWidth="1"/>
  </cols>
  <sheetData>
    <row r="1" spans="2:8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89">
      <c r="B2" s="3" t="s">
        <v>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2:89" hidden="1" outlineLevel="1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>
        <v>2</v>
      </c>
      <c r="P4" s="4">
        <f>O4+1</f>
        <v>3</v>
      </c>
      <c r="Q4" s="4">
        <f t="shared" ref="Q4:CB4" si="0">P4+1</f>
        <v>4</v>
      </c>
      <c r="R4" s="4">
        <f t="shared" si="0"/>
        <v>5</v>
      </c>
      <c r="S4" s="4">
        <f t="shared" si="0"/>
        <v>6</v>
      </c>
      <c r="T4" s="4">
        <f t="shared" si="0"/>
        <v>7</v>
      </c>
      <c r="U4" s="4">
        <f t="shared" si="0"/>
        <v>8</v>
      </c>
      <c r="V4" s="4">
        <f t="shared" si="0"/>
        <v>9</v>
      </c>
      <c r="W4" s="4">
        <f t="shared" si="0"/>
        <v>10</v>
      </c>
      <c r="X4" s="4">
        <f t="shared" si="0"/>
        <v>11</v>
      </c>
      <c r="Y4" s="4">
        <f t="shared" si="0"/>
        <v>12</v>
      </c>
      <c r="Z4" s="4">
        <f t="shared" si="0"/>
        <v>13</v>
      </c>
      <c r="AA4" s="4">
        <f t="shared" si="0"/>
        <v>14</v>
      </c>
      <c r="AB4" s="4">
        <f t="shared" si="0"/>
        <v>15</v>
      </c>
      <c r="AC4" s="4">
        <f t="shared" si="0"/>
        <v>16</v>
      </c>
      <c r="AD4" s="4">
        <f t="shared" si="0"/>
        <v>17</v>
      </c>
      <c r="AE4" s="4">
        <f t="shared" si="0"/>
        <v>18</v>
      </c>
      <c r="AF4" s="4">
        <f t="shared" si="0"/>
        <v>19</v>
      </c>
      <c r="AG4" s="4">
        <f t="shared" si="0"/>
        <v>20</v>
      </c>
      <c r="AH4" s="4">
        <f t="shared" si="0"/>
        <v>21</v>
      </c>
      <c r="AI4" s="4">
        <f t="shared" si="0"/>
        <v>22</v>
      </c>
      <c r="AJ4" s="4">
        <f t="shared" si="0"/>
        <v>23</v>
      </c>
      <c r="AK4" s="4">
        <f t="shared" si="0"/>
        <v>24</v>
      </c>
      <c r="AL4" s="4">
        <f t="shared" si="0"/>
        <v>25</v>
      </c>
      <c r="AM4" s="4">
        <f t="shared" si="0"/>
        <v>26</v>
      </c>
      <c r="AN4" s="4">
        <f t="shared" si="0"/>
        <v>27</v>
      </c>
      <c r="AO4" s="4">
        <f t="shared" si="0"/>
        <v>28</v>
      </c>
      <c r="AP4" s="4">
        <f t="shared" si="0"/>
        <v>29</v>
      </c>
      <c r="AQ4" s="4">
        <f t="shared" si="0"/>
        <v>30</v>
      </c>
      <c r="AR4" s="4">
        <f t="shared" si="0"/>
        <v>31</v>
      </c>
      <c r="AS4" s="4">
        <f t="shared" si="0"/>
        <v>32</v>
      </c>
      <c r="AT4" s="4">
        <f t="shared" si="0"/>
        <v>33</v>
      </c>
      <c r="AU4" s="4">
        <f t="shared" si="0"/>
        <v>34</v>
      </c>
      <c r="AV4" s="4">
        <f t="shared" si="0"/>
        <v>35</v>
      </c>
      <c r="AW4" s="4">
        <f t="shared" si="0"/>
        <v>36</v>
      </c>
      <c r="AX4" s="4">
        <f t="shared" si="0"/>
        <v>37</v>
      </c>
      <c r="AY4" s="4">
        <f t="shared" si="0"/>
        <v>38</v>
      </c>
      <c r="AZ4" s="4">
        <f t="shared" si="0"/>
        <v>39</v>
      </c>
      <c r="BA4" s="4">
        <f t="shared" si="0"/>
        <v>40</v>
      </c>
      <c r="BB4" s="4">
        <f t="shared" si="0"/>
        <v>41</v>
      </c>
      <c r="BC4" s="4">
        <f t="shared" si="0"/>
        <v>42</v>
      </c>
      <c r="BD4" s="4">
        <f t="shared" si="0"/>
        <v>43</v>
      </c>
      <c r="BE4" s="4">
        <f t="shared" si="0"/>
        <v>44</v>
      </c>
      <c r="BF4" s="4">
        <f t="shared" si="0"/>
        <v>45</v>
      </c>
      <c r="BG4" s="4">
        <f t="shared" si="0"/>
        <v>46</v>
      </c>
      <c r="BH4" s="4">
        <f t="shared" si="0"/>
        <v>47</v>
      </c>
      <c r="BI4" s="4">
        <f t="shared" si="0"/>
        <v>48</v>
      </c>
      <c r="BJ4" s="4">
        <f t="shared" si="0"/>
        <v>49</v>
      </c>
      <c r="BK4" s="4">
        <f t="shared" si="0"/>
        <v>50</v>
      </c>
      <c r="BL4" s="4">
        <f t="shared" si="0"/>
        <v>51</v>
      </c>
      <c r="BM4" s="4">
        <f t="shared" si="0"/>
        <v>52</v>
      </c>
      <c r="BN4" s="4">
        <f t="shared" si="0"/>
        <v>53</v>
      </c>
      <c r="BO4" s="4">
        <f t="shared" si="0"/>
        <v>54</v>
      </c>
      <c r="BP4" s="4">
        <f t="shared" si="0"/>
        <v>55</v>
      </c>
      <c r="BQ4" s="4">
        <f t="shared" si="0"/>
        <v>56</v>
      </c>
      <c r="BR4" s="4">
        <f t="shared" si="0"/>
        <v>57</v>
      </c>
      <c r="BS4" s="4">
        <f t="shared" si="0"/>
        <v>58</v>
      </c>
      <c r="BT4" s="4">
        <f t="shared" si="0"/>
        <v>59</v>
      </c>
      <c r="BU4" s="4">
        <f t="shared" si="0"/>
        <v>60</v>
      </c>
      <c r="BV4" s="4">
        <f t="shared" si="0"/>
        <v>61</v>
      </c>
      <c r="BW4" s="4">
        <f t="shared" si="0"/>
        <v>62</v>
      </c>
      <c r="BX4" s="4">
        <f t="shared" si="0"/>
        <v>63</v>
      </c>
      <c r="BY4" s="4">
        <f t="shared" si="0"/>
        <v>64</v>
      </c>
      <c r="BZ4" s="4">
        <f t="shared" si="0"/>
        <v>65</v>
      </c>
      <c r="CA4" s="4">
        <f t="shared" si="0"/>
        <v>66</v>
      </c>
      <c r="CB4" s="4">
        <f t="shared" si="0"/>
        <v>67</v>
      </c>
      <c r="CC4" s="4">
        <f t="shared" ref="CC4:CK4" si="1">CB4+1</f>
        <v>68</v>
      </c>
      <c r="CD4" s="4">
        <f t="shared" si="1"/>
        <v>69</v>
      </c>
      <c r="CE4" s="4">
        <f t="shared" si="1"/>
        <v>70</v>
      </c>
      <c r="CF4" s="4">
        <f t="shared" si="1"/>
        <v>71</v>
      </c>
      <c r="CG4" s="4">
        <f t="shared" si="1"/>
        <v>72</v>
      </c>
      <c r="CH4" s="4">
        <f t="shared" si="1"/>
        <v>73</v>
      </c>
      <c r="CI4" s="4">
        <f t="shared" si="1"/>
        <v>74</v>
      </c>
      <c r="CJ4" s="4">
        <f t="shared" si="1"/>
        <v>75</v>
      </c>
      <c r="CK4" s="4">
        <f t="shared" si="1"/>
        <v>76</v>
      </c>
    </row>
    <row r="5" spans="2:89" hidden="1" outlineLevel="1"/>
    <row r="6" spans="2:89" collapsed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93" t="s">
        <v>2</v>
      </c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6"/>
      <c r="BH6" s="6"/>
      <c r="BI6" s="6"/>
      <c r="BJ6" s="6"/>
      <c r="BK6" s="6"/>
      <c r="BL6" s="93" t="s">
        <v>3</v>
      </c>
      <c r="BM6" s="93"/>
      <c r="BN6" s="93"/>
      <c r="BO6" s="93"/>
      <c r="BP6" s="93"/>
      <c r="BQ6" s="6"/>
      <c r="BR6" s="93" t="s">
        <v>4</v>
      </c>
      <c r="BS6" s="93"/>
      <c r="BT6" s="93" t="s">
        <v>5</v>
      </c>
      <c r="BU6" s="93"/>
      <c r="BV6" s="93"/>
      <c r="BW6" s="93"/>
      <c r="BX6" s="93"/>
      <c r="BY6" s="6" t="s">
        <v>6</v>
      </c>
      <c r="CA6" s="93" t="s">
        <v>7</v>
      </c>
      <c r="CB6" s="93"/>
      <c r="CC6" s="93"/>
      <c r="CD6" s="93"/>
      <c r="CF6" s="6" t="s">
        <v>8</v>
      </c>
      <c r="CH6" s="93" t="s">
        <v>9</v>
      </c>
      <c r="CI6" s="93"/>
      <c r="CJ6" s="93"/>
      <c r="CK6" s="93"/>
    </row>
    <row r="7" spans="2:89">
      <c r="B7" s="5"/>
      <c r="C7" s="75">
        <v>2005</v>
      </c>
      <c r="D7" s="75">
        <v>2006</v>
      </c>
      <c r="E7" s="75">
        <v>2007</v>
      </c>
      <c r="F7" s="75">
        <v>2008</v>
      </c>
      <c r="G7" s="75">
        <v>2009</v>
      </c>
      <c r="H7" s="75">
        <v>2010</v>
      </c>
      <c r="I7" s="75">
        <v>2011</v>
      </c>
      <c r="J7" s="75">
        <v>2012</v>
      </c>
      <c r="K7" s="75">
        <v>2013</v>
      </c>
      <c r="L7" s="75">
        <v>2014</v>
      </c>
      <c r="M7" s="75" t="s">
        <v>115</v>
      </c>
      <c r="N7" s="5"/>
      <c r="O7" s="6" t="s">
        <v>10</v>
      </c>
      <c r="P7" s="6" t="s">
        <v>11</v>
      </c>
      <c r="Q7" s="6" t="s">
        <v>12</v>
      </c>
      <c r="R7" s="6" t="s">
        <v>13</v>
      </c>
      <c r="S7" s="6" t="s">
        <v>14</v>
      </c>
      <c r="T7" s="6" t="s">
        <v>15</v>
      </c>
      <c r="U7" s="6" t="s">
        <v>16</v>
      </c>
      <c r="V7" s="6" t="s">
        <v>17</v>
      </c>
      <c r="W7" s="6" t="s">
        <v>18</v>
      </c>
      <c r="X7" s="6" t="s">
        <v>19</v>
      </c>
      <c r="Y7" s="6" t="s">
        <v>20</v>
      </c>
      <c r="Z7" s="6" t="s">
        <v>21</v>
      </c>
      <c r="AA7" s="6" t="s">
        <v>22</v>
      </c>
      <c r="AB7" s="6" t="s">
        <v>23</v>
      </c>
      <c r="AC7" s="6" t="s">
        <v>24</v>
      </c>
      <c r="AD7" s="6" t="s">
        <v>25</v>
      </c>
      <c r="AE7" s="6" t="s">
        <v>26</v>
      </c>
      <c r="AF7" s="6" t="s">
        <v>27</v>
      </c>
      <c r="AG7" s="6" t="s">
        <v>28</v>
      </c>
      <c r="AH7" s="6" t="s">
        <v>29</v>
      </c>
      <c r="AI7" s="6" t="s">
        <v>30</v>
      </c>
      <c r="AJ7" s="6" t="s">
        <v>31</v>
      </c>
      <c r="AK7" s="6" t="s">
        <v>32</v>
      </c>
      <c r="AL7" s="6" t="s">
        <v>33</v>
      </c>
      <c r="AM7" s="6" t="s">
        <v>34</v>
      </c>
      <c r="AN7" s="6" t="s">
        <v>35</v>
      </c>
      <c r="AO7" s="6" t="s">
        <v>36</v>
      </c>
      <c r="AP7" s="6" t="s">
        <v>37</v>
      </c>
      <c r="AQ7" s="6" t="s">
        <v>38</v>
      </c>
      <c r="AR7" s="6" t="s">
        <v>39</v>
      </c>
      <c r="AS7" s="6" t="s">
        <v>40</v>
      </c>
      <c r="AT7" s="6" t="s">
        <v>41</v>
      </c>
      <c r="AU7" s="6" t="s">
        <v>42</v>
      </c>
      <c r="AV7" s="6" t="s">
        <v>43</v>
      </c>
      <c r="AW7" s="6" t="s">
        <v>44</v>
      </c>
      <c r="AX7" s="6" t="s">
        <v>45</v>
      </c>
      <c r="AY7" s="6" t="s">
        <v>46</v>
      </c>
      <c r="AZ7" s="6" t="s">
        <v>47</v>
      </c>
      <c r="BA7" s="6" t="s">
        <v>48</v>
      </c>
      <c r="BB7" s="6" t="s">
        <v>49</v>
      </c>
      <c r="BC7" s="6" t="s">
        <v>50</v>
      </c>
      <c r="BD7" s="6" t="s">
        <v>51</v>
      </c>
      <c r="BE7" s="6" t="s">
        <v>52</v>
      </c>
      <c r="BF7" s="6" t="s">
        <v>53</v>
      </c>
      <c r="BG7" s="6" t="s">
        <v>54</v>
      </c>
      <c r="BH7" s="6" t="s">
        <v>55</v>
      </c>
      <c r="BI7" s="6" t="s">
        <v>56</v>
      </c>
      <c r="BJ7" s="6" t="s">
        <v>57</v>
      </c>
      <c r="BK7" s="7"/>
      <c r="BL7" s="6">
        <v>2011</v>
      </c>
      <c r="BM7" s="6">
        <v>2012</v>
      </c>
      <c r="BN7" s="6">
        <v>2013</v>
      </c>
      <c r="BO7" s="6">
        <v>2014</v>
      </c>
      <c r="BP7" s="6">
        <v>2015</v>
      </c>
      <c r="BQ7" s="6"/>
      <c r="BR7" s="6" t="s">
        <v>58</v>
      </c>
      <c r="BS7" s="6" t="s">
        <v>59</v>
      </c>
      <c r="BT7" s="6">
        <v>2011</v>
      </c>
      <c r="BU7" s="6">
        <v>2012</v>
      </c>
      <c r="BV7" s="6">
        <v>2013</v>
      </c>
      <c r="BW7" s="6">
        <v>2014</v>
      </c>
      <c r="BX7" s="6">
        <v>2015</v>
      </c>
      <c r="BY7" s="6" t="s">
        <v>60</v>
      </c>
      <c r="BZ7" s="8"/>
      <c r="CA7" s="6" t="s">
        <v>61</v>
      </c>
      <c r="CB7" s="6" t="s">
        <v>62</v>
      </c>
      <c r="CC7" s="6" t="s">
        <v>63</v>
      </c>
      <c r="CD7" s="6" t="s">
        <v>4</v>
      </c>
      <c r="CF7" s="6" t="s">
        <v>64</v>
      </c>
      <c r="CG7" s="8"/>
      <c r="CH7" s="6">
        <v>2012</v>
      </c>
      <c r="CI7" s="6">
        <v>2013</v>
      </c>
      <c r="CJ7" s="6">
        <v>2014</v>
      </c>
      <c r="CK7" s="6">
        <v>2015</v>
      </c>
    </row>
    <row r="8" spans="2:89">
      <c r="O8" s="9"/>
      <c r="P8" s="2"/>
      <c r="Q8" s="2"/>
      <c r="R8" s="2"/>
      <c r="S8" s="9"/>
      <c r="T8" s="2"/>
      <c r="U8" s="2"/>
      <c r="V8" s="2"/>
      <c r="W8" s="9"/>
      <c r="X8" s="2"/>
      <c r="Y8" s="2"/>
      <c r="Z8" s="2"/>
      <c r="AA8" s="9"/>
      <c r="AB8" s="2"/>
      <c r="AC8" s="2"/>
      <c r="AD8" s="2"/>
      <c r="AE8" s="9"/>
      <c r="AF8" s="2"/>
      <c r="AG8" s="2"/>
      <c r="AH8" s="2"/>
      <c r="AI8" s="9"/>
      <c r="AJ8" s="2"/>
      <c r="AK8" s="2"/>
      <c r="AL8" s="2"/>
      <c r="AM8" s="9"/>
      <c r="AN8" s="2"/>
      <c r="AO8" s="2"/>
      <c r="AP8" s="2"/>
      <c r="AQ8" s="9"/>
      <c r="AR8" s="2"/>
      <c r="AS8" s="2"/>
      <c r="AU8" s="9"/>
      <c r="AY8" s="9"/>
      <c r="BA8" s="10"/>
      <c r="BC8" s="9"/>
      <c r="BG8" s="9"/>
      <c r="BL8" s="11"/>
      <c r="BM8" s="2"/>
      <c r="BN8" s="2"/>
      <c r="BO8" s="2"/>
      <c r="BP8" s="2"/>
      <c r="BQ8" s="2"/>
      <c r="BR8" s="2"/>
      <c r="BS8" s="12"/>
      <c r="BY8" s="13"/>
    </row>
    <row r="9" spans="2:89">
      <c r="B9" s="14" t="s">
        <v>65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6"/>
      <c r="Q9" s="16"/>
      <c r="R9" s="16"/>
      <c r="S9" s="15"/>
      <c r="T9" s="16"/>
      <c r="U9" s="16"/>
      <c r="V9" s="16"/>
      <c r="W9" s="15"/>
      <c r="X9" s="16"/>
      <c r="Y9" s="16"/>
      <c r="Z9" s="16"/>
      <c r="AA9" s="15"/>
      <c r="AB9" s="16"/>
      <c r="AC9" s="16"/>
      <c r="AD9" s="16"/>
      <c r="AE9" s="15"/>
      <c r="AF9" s="16"/>
      <c r="AG9" s="16"/>
      <c r="AH9" s="16"/>
      <c r="AI9" s="15"/>
      <c r="AJ9" s="16"/>
      <c r="AK9" s="16"/>
      <c r="AL9" s="16"/>
      <c r="AM9" s="15"/>
      <c r="AN9" s="16"/>
      <c r="AO9" s="16"/>
      <c r="AP9" s="16"/>
      <c r="AQ9" s="15"/>
      <c r="AR9" s="16"/>
      <c r="AS9" s="16"/>
      <c r="AT9" s="16"/>
      <c r="AU9" s="15"/>
      <c r="AV9" s="16"/>
      <c r="AW9" s="16"/>
      <c r="AX9" s="16"/>
      <c r="AY9" s="15"/>
      <c r="AZ9" s="16"/>
      <c r="BA9" s="17"/>
      <c r="BB9" s="16"/>
      <c r="BC9" s="15"/>
      <c r="BD9" s="16"/>
      <c r="BE9" s="16"/>
      <c r="BF9" s="16"/>
      <c r="BG9" s="15"/>
      <c r="BH9" s="16"/>
      <c r="BI9" s="16"/>
      <c r="BJ9" s="16"/>
      <c r="BK9" s="16"/>
      <c r="BL9" s="18"/>
      <c r="BM9" s="16"/>
      <c r="BN9" s="16"/>
      <c r="BO9" s="16"/>
      <c r="BP9" s="16"/>
      <c r="BQ9" s="16"/>
      <c r="BR9" s="16"/>
      <c r="BS9" s="19"/>
      <c r="BT9" s="20"/>
      <c r="BU9" s="20"/>
      <c r="BV9" s="20"/>
      <c r="BW9" s="20"/>
      <c r="BX9" s="20"/>
      <c r="BY9" s="21"/>
      <c r="CA9" s="20"/>
      <c r="CB9" s="20"/>
      <c r="CC9" s="20"/>
      <c r="CD9" s="20"/>
      <c r="CF9" s="20"/>
      <c r="CH9" s="20"/>
      <c r="CI9" s="20"/>
      <c r="CJ9" s="20"/>
      <c r="CK9" s="20"/>
    </row>
    <row r="10" spans="2:89" s="8" customFormat="1">
      <c r="B10" s="8" t="s">
        <v>66</v>
      </c>
      <c r="C10" s="76">
        <f>SUM(O10:R10)</f>
        <v>1905</v>
      </c>
      <c r="D10" s="76">
        <f>SUM(S10:V10)</f>
        <v>2580</v>
      </c>
      <c r="E10" s="76">
        <f>SUM(W10:Z10)</f>
        <v>4222</v>
      </c>
      <c r="F10" s="76">
        <f>SUM(AA10:AD10)</f>
        <v>2656</v>
      </c>
      <c r="G10" s="76">
        <f>SUM(AE10:AH10)</f>
        <v>1706</v>
      </c>
      <c r="H10" s="76">
        <f>SUM(AI10:AL10)</f>
        <v>2062</v>
      </c>
      <c r="I10" s="76">
        <f>SUM(AM10:AP10)</f>
        <v>1987</v>
      </c>
      <c r="J10" s="76">
        <f>SUM(AQ10:AT10)</f>
        <v>1975</v>
      </c>
      <c r="K10" s="76">
        <f>SUM(AU10:AX10)</f>
        <v>1978</v>
      </c>
      <c r="L10" s="76">
        <f>SUM(AY10:BB10)</f>
        <v>2474</v>
      </c>
      <c r="M10" s="76">
        <f>SUM(BC10:BE10)</f>
        <v>2591</v>
      </c>
      <c r="O10" s="22">
        <v>414</v>
      </c>
      <c r="P10" s="23">
        <v>386</v>
      </c>
      <c r="Q10" s="23">
        <v>559</v>
      </c>
      <c r="R10" s="23">
        <v>546</v>
      </c>
      <c r="S10" s="22">
        <v>736</v>
      </c>
      <c r="T10" s="23">
        <v>608</v>
      </c>
      <c r="U10" s="23">
        <v>609</v>
      </c>
      <c r="V10" s="23">
        <v>627</v>
      </c>
      <c r="W10" s="22">
        <v>861</v>
      </c>
      <c r="X10" s="23">
        <v>709</v>
      </c>
      <c r="Y10" s="23">
        <v>1412</v>
      </c>
      <c r="Z10" s="23">
        <v>1240</v>
      </c>
      <c r="AA10" s="22">
        <v>663</v>
      </c>
      <c r="AB10" s="23">
        <v>800</v>
      </c>
      <c r="AC10" s="23">
        <v>619</v>
      </c>
      <c r="AD10" s="23">
        <v>574</v>
      </c>
      <c r="AE10" s="22">
        <v>527</v>
      </c>
      <c r="AF10" s="23">
        <v>368</v>
      </c>
      <c r="AG10" s="23">
        <v>325</v>
      </c>
      <c r="AH10" s="23">
        <v>486</v>
      </c>
      <c r="AI10" s="22">
        <v>464</v>
      </c>
      <c r="AJ10" s="23">
        <v>471</v>
      </c>
      <c r="AK10" s="23">
        <v>499</v>
      </c>
      <c r="AL10" s="23">
        <v>628</v>
      </c>
      <c r="AM10" s="22">
        <v>357</v>
      </c>
      <c r="AN10" s="23">
        <v>637</v>
      </c>
      <c r="AO10" s="23">
        <v>523</v>
      </c>
      <c r="AP10" s="23">
        <v>470</v>
      </c>
      <c r="AQ10" s="22">
        <v>489</v>
      </c>
      <c r="AR10" s="23">
        <v>469</v>
      </c>
      <c r="AS10" s="23">
        <v>509</v>
      </c>
      <c r="AT10" s="23">
        <v>508</v>
      </c>
      <c r="AU10" s="22">
        <v>484</v>
      </c>
      <c r="AV10" s="23">
        <v>486</v>
      </c>
      <c r="AW10" s="23">
        <v>423</v>
      </c>
      <c r="AX10" s="24">
        <v>585</v>
      </c>
      <c r="AY10" s="25">
        <v>682</v>
      </c>
      <c r="AZ10" s="24">
        <v>506</v>
      </c>
      <c r="BA10" s="26">
        <v>594</v>
      </c>
      <c r="BB10" s="24">
        <v>692</v>
      </c>
      <c r="BC10" s="25">
        <v>961</v>
      </c>
      <c r="BD10" s="24">
        <v>821</v>
      </c>
      <c r="BE10" s="24">
        <v>809</v>
      </c>
      <c r="BF10" s="27"/>
      <c r="BG10" s="28"/>
      <c r="BH10" s="27"/>
      <c r="BI10" s="27"/>
      <c r="BJ10" s="27"/>
      <c r="BK10" s="23"/>
      <c r="BL10" s="29">
        <f>SUM(AM10:AP10)</f>
        <v>1987</v>
      </c>
      <c r="BM10" s="23">
        <f>SUM(AQ10:AT10)</f>
        <v>1975</v>
      </c>
      <c r="BN10" s="23">
        <f>SUM(AU10:AX10)</f>
        <v>1978</v>
      </c>
      <c r="BO10" s="23">
        <f>SUM(AY10:BB10)</f>
        <v>2474</v>
      </c>
      <c r="BP10" s="23">
        <f>SUM(BC10:BF10)</f>
        <v>2591</v>
      </c>
      <c r="BQ10" s="23"/>
      <c r="BR10" s="23">
        <f>SUM(AX10:BA10)</f>
        <v>2367</v>
      </c>
      <c r="BS10" s="30">
        <f>SUM(BB10:BE10)</f>
        <v>3283</v>
      </c>
      <c r="BT10" s="31">
        <f>AVERAGE(AM10:AP10)</f>
        <v>496.75</v>
      </c>
      <c r="BU10" s="31">
        <f>AVERAGE(AQ10:AT10)</f>
        <v>493.75</v>
      </c>
      <c r="BV10" s="31">
        <f>AVERAGE(AU10:AX10)</f>
        <v>494.5</v>
      </c>
      <c r="BW10" s="31">
        <f>AVERAGE(AY10:BB10)</f>
        <v>618.5</v>
      </c>
      <c r="BX10" s="31">
        <f>AVERAGE(BC10:BF10)</f>
        <v>863.66666666666663</v>
      </c>
      <c r="BY10" s="32">
        <f>AVERAGE(AI10:BD10)</f>
        <v>557.18181818181813</v>
      </c>
      <c r="BZ10" s="33"/>
      <c r="CA10" s="34">
        <f>BE10/BD10-1</f>
        <v>-1.461632155907433E-2</v>
      </c>
      <c r="CB10" s="34">
        <f>BE10/BA10-1</f>
        <v>0.36195286195286203</v>
      </c>
      <c r="CC10" s="34">
        <f>BE10/BY10-1</f>
        <v>0.45194974710393221</v>
      </c>
      <c r="CD10" s="34">
        <f t="shared" ref="CD10:CD15" si="2">BS10/BR10-1</f>
        <v>0.38698774820447834</v>
      </c>
      <c r="CE10" s="33"/>
      <c r="CF10" s="34">
        <f t="shared" ref="CF10:CF15" si="3">BX10/BY10-1</f>
        <v>0.55006254418882916</v>
      </c>
      <c r="CG10" s="33"/>
      <c r="CH10" s="34">
        <f t="shared" ref="CH10:CK15" si="4">BM10/BL10-1</f>
        <v>-6.0392551585304322E-3</v>
      </c>
      <c r="CI10" s="34">
        <f t="shared" si="4"/>
        <v>1.5189873417722488E-3</v>
      </c>
      <c r="CJ10" s="34">
        <f t="shared" si="4"/>
        <v>0.25075834175935285</v>
      </c>
      <c r="CK10" s="34">
        <f t="shared" si="4"/>
        <v>4.7291835084882772E-2</v>
      </c>
    </row>
    <row r="11" spans="2:89" s="8" customFormat="1">
      <c r="B11" s="8" t="s">
        <v>67</v>
      </c>
      <c r="C11" s="76">
        <f t="shared" ref="C11:C14" si="5">SUM(O11:R11)</f>
        <v>1478</v>
      </c>
      <c r="D11" s="76">
        <f t="shared" ref="D11:D14" si="6">SUM(S11:V11)</f>
        <v>1753</v>
      </c>
      <c r="E11" s="76">
        <f t="shared" ref="E11:E14" si="7">SUM(W11:Z11)</f>
        <v>2541</v>
      </c>
      <c r="F11" s="76">
        <f t="shared" ref="F11:F14" si="8">SUM(AA11:AD11)</f>
        <v>1648</v>
      </c>
      <c r="G11" s="76">
        <f t="shared" ref="G11:G14" si="9">SUM(AE11:AH11)</f>
        <v>1291</v>
      </c>
      <c r="H11" s="76">
        <f t="shared" ref="H11:H14" si="10">SUM(AI11:AL11)</f>
        <v>1470</v>
      </c>
      <c r="I11" s="76">
        <f t="shared" ref="I11:I14" si="11">SUM(AM11:AP11)</f>
        <v>1737</v>
      </c>
      <c r="J11" s="76">
        <f t="shared" ref="J11:J14" si="12">SUM(AQ11:AT11)</f>
        <v>1369</v>
      </c>
      <c r="K11" s="76">
        <f t="shared" ref="K11:K14" si="13">SUM(AU11:AX11)</f>
        <v>1310</v>
      </c>
      <c r="L11" s="76">
        <f t="shared" ref="L11:L14" si="14">SUM(AY11:BB11)</f>
        <v>1634</v>
      </c>
      <c r="M11" s="76">
        <f t="shared" ref="M11:M14" si="15">SUM(BC11:BE11)</f>
        <v>1451</v>
      </c>
      <c r="O11" s="22">
        <v>254</v>
      </c>
      <c r="P11" s="23">
        <v>357</v>
      </c>
      <c r="Q11" s="23">
        <v>388</v>
      </c>
      <c r="R11" s="23">
        <v>479</v>
      </c>
      <c r="S11" s="22">
        <v>344</v>
      </c>
      <c r="T11" s="23">
        <v>365</v>
      </c>
      <c r="U11" s="23">
        <v>444</v>
      </c>
      <c r="V11" s="23">
        <v>600</v>
      </c>
      <c r="W11" s="22">
        <v>373</v>
      </c>
      <c r="X11" s="23">
        <v>725</v>
      </c>
      <c r="Y11" s="23">
        <v>664</v>
      </c>
      <c r="Z11" s="23">
        <v>779</v>
      </c>
      <c r="AA11" s="22">
        <v>401</v>
      </c>
      <c r="AB11" s="23">
        <v>380</v>
      </c>
      <c r="AC11" s="23">
        <v>500</v>
      </c>
      <c r="AD11" s="23">
        <v>367</v>
      </c>
      <c r="AE11" s="22">
        <v>411</v>
      </c>
      <c r="AF11" s="23">
        <v>268</v>
      </c>
      <c r="AG11" s="23">
        <v>279</v>
      </c>
      <c r="AH11" s="23">
        <v>333</v>
      </c>
      <c r="AI11" s="22">
        <v>327</v>
      </c>
      <c r="AJ11" s="23">
        <v>288</v>
      </c>
      <c r="AK11" s="23">
        <v>371</v>
      </c>
      <c r="AL11" s="23">
        <v>484</v>
      </c>
      <c r="AM11" s="22">
        <v>385</v>
      </c>
      <c r="AN11" s="23">
        <v>533</v>
      </c>
      <c r="AO11" s="23">
        <v>413</v>
      </c>
      <c r="AP11" s="23">
        <v>406</v>
      </c>
      <c r="AQ11" s="22">
        <v>313</v>
      </c>
      <c r="AR11" s="23">
        <v>263</v>
      </c>
      <c r="AS11" s="23">
        <v>339</v>
      </c>
      <c r="AT11" s="24">
        <v>454</v>
      </c>
      <c r="AU11" s="25">
        <v>251</v>
      </c>
      <c r="AV11" s="24">
        <v>333</v>
      </c>
      <c r="AW11" s="24">
        <v>275</v>
      </c>
      <c r="AX11" s="24">
        <v>451</v>
      </c>
      <c r="AY11" s="25">
        <v>336</v>
      </c>
      <c r="AZ11" s="24">
        <v>418</v>
      </c>
      <c r="BA11" s="24">
        <v>392</v>
      </c>
      <c r="BB11" s="24">
        <v>488</v>
      </c>
      <c r="BC11" s="25">
        <v>471</v>
      </c>
      <c r="BD11" s="24">
        <v>423</v>
      </c>
      <c r="BE11" s="24">
        <v>557</v>
      </c>
      <c r="BF11" s="27"/>
      <c r="BG11" s="28"/>
      <c r="BH11" s="27"/>
      <c r="BI11" s="27"/>
      <c r="BJ11" s="27"/>
      <c r="BK11" s="24"/>
      <c r="BL11" s="29">
        <f t="shared" ref="BL11:BL15" si="16">SUM(AM11:AP11)</f>
        <v>1737</v>
      </c>
      <c r="BM11" s="23">
        <f t="shared" ref="BM11:BM15" si="17">SUM(AQ11:AT11)</f>
        <v>1369</v>
      </c>
      <c r="BN11" s="23">
        <f t="shared" ref="BN11:BN15" si="18">SUM(AU11:AX11)</f>
        <v>1310</v>
      </c>
      <c r="BO11" s="23">
        <f t="shared" ref="BO11:BO15" si="19">SUM(AY11:BB11)</f>
        <v>1634</v>
      </c>
      <c r="BP11" s="23">
        <f t="shared" ref="BP11:BP15" si="20">SUM(BC11:BF11)</f>
        <v>1451</v>
      </c>
      <c r="BQ11" s="23"/>
      <c r="BR11" s="23">
        <f t="shared" ref="BR11:BR15" si="21">SUM(AX11:BA11)</f>
        <v>1597</v>
      </c>
      <c r="BS11" s="30">
        <f t="shared" ref="BS11:BS15" si="22">SUM(BB11:BE11)</f>
        <v>1939</v>
      </c>
      <c r="BT11" s="31">
        <f t="shared" ref="BT11:BT15" si="23">AVERAGE(AM11:AP11)</f>
        <v>434.25</v>
      </c>
      <c r="BU11" s="31">
        <f t="shared" ref="BU11:BU15" si="24">AVERAGE(AQ11:AT11)</f>
        <v>342.25</v>
      </c>
      <c r="BV11" s="31">
        <f t="shared" ref="BV11:BV15" si="25">AVERAGE(AU11:AX11)</f>
        <v>327.5</v>
      </c>
      <c r="BW11" s="31">
        <f t="shared" ref="BW11:BW15" si="26">AVERAGE(AY11:BB11)</f>
        <v>408.5</v>
      </c>
      <c r="BX11" s="31">
        <f t="shared" ref="BX11:BX15" si="27">AVERAGE(BC11:BF11)</f>
        <v>483.66666666666669</v>
      </c>
      <c r="BY11" s="32">
        <f t="shared" ref="BY11:BY15" si="28">AVERAGE(AI11:BD11)</f>
        <v>382.45454545454544</v>
      </c>
      <c r="BZ11" s="33"/>
      <c r="CA11" s="34">
        <f t="shared" ref="CA11:CA15" si="29">BE11/BD11-1</f>
        <v>0.31678486997635935</v>
      </c>
      <c r="CB11" s="34">
        <f t="shared" ref="CB11:CB15" si="30">BE11/BA11-1</f>
        <v>0.42091836734693877</v>
      </c>
      <c r="CC11" s="34">
        <f t="shared" ref="CC11:CC15" si="31">BE11/BY11-1</f>
        <v>0.45638222010934171</v>
      </c>
      <c r="CD11" s="34">
        <f t="shared" si="2"/>
        <v>0.21415153412648724</v>
      </c>
      <c r="CE11" s="33"/>
      <c r="CF11" s="34">
        <f t="shared" si="3"/>
        <v>0.2646383012439586</v>
      </c>
      <c r="CG11" s="33"/>
      <c r="CH11" s="34">
        <f t="shared" si="4"/>
        <v>-0.21185952792170404</v>
      </c>
      <c r="CI11" s="34">
        <f t="shared" si="4"/>
        <v>-4.3097151205259365E-2</v>
      </c>
      <c r="CJ11" s="34">
        <f t="shared" si="4"/>
        <v>0.24732824427480926</v>
      </c>
      <c r="CK11" s="34">
        <f t="shared" si="4"/>
        <v>-0.11199510403916768</v>
      </c>
    </row>
    <row r="12" spans="2:89" s="8" customFormat="1">
      <c r="B12" s="8" t="s">
        <v>68</v>
      </c>
      <c r="C12" s="76">
        <f t="shared" si="5"/>
        <v>1177</v>
      </c>
      <c r="D12" s="76">
        <f t="shared" si="6"/>
        <v>1437</v>
      </c>
      <c r="E12" s="76">
        <f t="shared" si="7"/>
        <v>2184</v>
      </c>
      <c r="F12" s="76">
        <f t="shared" si="8"/>
        <v>1410</v>
      </c>
      <c r="G12" s="76">
        <f t="shared" si="9"/>
        <v>1090</v>
      </c>
      <c r="H12" s="76">
        <f t="shared" si="10"/>
        <v>1018</v>
      </c>
      <c r="I12" s="76">
        <f t="shared" si="11"/>
        <v>1248</v>
      </c>
      <c r="J12" s="76">
        <f t="shared" si="12"/>
        <v>1065</v>
      </c>
      <c r="K12" s="76">
        <f t="shared" si="13"/>
        <v>1131</v>
      </c>
      <c r="L12" s="76">
        <f t="shared" si="14"/>
        <v>1207</v>
      </c>
      <c r="M12" s="76">
        <f t="shared" si="15"/>
        <v>1095</v>
      </c>
      <c r="O12" s="22">
        <v>220</v>
      </c>
      <c r="P12" s="23">
        <v>287</v>
      </c>
      <c r="Q12" s="23">
        <v>247</v>
      </c>
      <c r="R12" s="23">
        <v>423</v>
      </c>
      <c r="S12" s="22">
        <v>333</v>
      </c>
      <c r="T12" s="23">
        <v>350</v>
      </c>
      <c r="U12" s="23">
        <v>345</v>
      </c>
      <c r="V12" s="23">
        <v>409</v>
      </c>
      <c r="W12" s="22">
        <v>529</v>
      </c>
      <c r="X12" s="23">
        <v>507</v>
      </c>
      <c r="Y12" s="23">
        <v>479</v>
      </c>
      <c r="Z12" s="23">
        <v>669</v>
      </c>
      <c r="AA12" s="22">
        <v>441</v>
      </c>
      <c r="AB12" s="23">
        <v>368</v>
      </c>
      <c r="AC12" s="23">
        <v>417</v>
      </c>
      <c r="AD12" s="23">
        <v>184</v>
      </c>
      <c r="AE12" s="22">
        <v>329</v>
      </c>
      <c r="AF12" s="23">
        <v>292</v>
      </c>
      <c r="AG12" s="23">
        <v>207</v>
      </c>
      <c r="AH12" s="23">
        <v>262</v>
      </c>
      <c r="AI12" s="22">
        <v>167</v>
      </c>
      <c r="AJ12" s="23">
        <v>242</v>
      </c>
      <c r="AK12" s="23">
        <v>273</v>
      </c>
      <c r="AL12" s="23">
        <v>336</v>
      </c>
      <c r="AM12" s="22">
        <v>320</v>
      </c>
      <c r="AN12" s="23">
        <v>382</v>
      </c>
      <c r="AO12" s="23">
        <v>273</v>
      </c>
      <c r="AP12" s="23">
        <v>273</v>
      </c>
      <c r="AQ12" s="22">
        <v>203</v>
      </c>
      <c r="AR12" s="23">
        <v>340</v>
      </c>
      <c r="AS12" s="23">
        <v>221</v>
      </c>
      <c r="AT12" s="23">
        <v>301</v>
      </c>
      <c r="AU12" s="22">
        <v>257</v>
      </c>
      <c r="AV12" s="23">
        <v>262</v>
      </c>
      <c r="AW12" s="23">
        <v>256</v>
      </c>
      <c r="AX12" s="23">
        <v>356</v>
      </c>
      <c r="AY12" s="25">
        <v>286</v>
      </c>
      <c r="AZ12" s="24">
        <v>264</v>
      </c>
      <c r="BA12" s="26">
        <v>316</v>
      </c>
      <c r="BB12" s="23">
        <v>341</v>
      </c>
      <c r="BC12" s="25">
        <v>428</v>
      </c>
      <c r="BD12" s="24">
        <v>276</v>
      </c>
      <c r="BE12" s="24">
        <v>391</v>
      </c>
      <c r="BF12" s="27"/>
      <c r="BG12" s="28"/>
      <c r="BH12" s="27"/>
      <c r="BI12" s="27"/>
      <c r="BJ12" s="27"/>
      <c r="BK12" s="23"/>
      <c r="BL12" s="29">
        <f t="shared" si="16"/>
        <v>1248</v>
      </c>
      <c r="BM12" s="23">
        <f t="shared" si="17"/>
        <v>1065</v>
      </c>
      <c r="BN12" s="23">
        <f t="shared" si="18"/>
        <v>1131</v>
      </c>
      <c r="BO12" s="23">
        <f t="shared" si="19"/>
        <v>1207</v>
      </c>
      <c r="BP12" s="23">
        <f t="shared" si="20"/>
        <v>1095</v>
      </c>
      <c r="BQ12" s="23"/>
      <c r="BR12" s="23">
        <f t="shared" si="21"/>
        <v>1222</v>
      </c>
      <c r="BS12" s="30">
        <f t="shared" si="22"/>
        <v>1436</v>
      </c>
      <c r="BT12" s="31">
        <f t="shared" si="23"/>
        <v>312</v>
      </c>
      <c r="BU12" s="31">
        <f t="shared" si="24"/>
        <v>266.25</v>
      </c>
      <c r="BV12" s="31">
        <f t="shared" si="25"/>
        <v>282.75</v>
      </c>
      <c r="BW12" s="31">
        <f t="shared" si="26"/>
        <v>301.75</v>
      </c>
      <c r="BX12" s="31">
        <f t="shared" si="27"/>
        <v>365</v>
      </c>
      <c r="BY12" s="32">
        <f t="shared" si="28"/>
        <v>289.68181818181819</v>
      </c>
      <c r="BZ12" s="33"/>
      <c r="CA12" s="34">
        <f t="shared" si="29"/>
        <v>0.41666666666666674</v>
      </c>
      <c r="CB12" s="34">
        <f t="shared" si="30"/>
        <v>0.23734177215189867</v>
      </c>
      <c r="CC12" s="34">
        <f t="shared" si="31"/>
        <v>0.3497567864428055</v>
      </c>
      <c r="CD12" s="34">
        <f t="shared" si="2"/>
        <v>0.17512274959083474</v>
      </c>
      <c r="CE12" s="33"/>
      <c r="CF12" s="34">
        <f t="shared" si="3"/>
        <v>0.26000313823944765</v>
      </c>
      <c r="CG12" s="33"/>
      <c r="CH12" s="34">
        <f t="shared" si="4"/>
        <v>-0.14663461538461542</v>
      </c>
      <c r="CI12" s="34">
        <f t="shared" si="4"/>
        <v>6.197183098591541E-2</v>
      </c>
      <c r="CJ12" s="34">
        <f t="shared" si="4"/>
        <v>6.7197170645446613E-2</v>
      </c>
      <c r="CK12" s="34">
        <f t="shared" si="4"/>
        <v>-9.2792046396023231E-2</v>
      </c>
    </row>
    <row r="13" spans="2:89" s="8" customFormat="1">
      <c r="B13" s="8" t="s">
        <v>69</v>
      </c>
      <c r="C13" s="76">
        <f t="shared" si="5"/>
        <v>1212</v>
      </c>
      <c r="D13" s="76">
        <f t="shared" si="6"/>
        <v>1329</v>
      </c>
      <c r="E13" s="76">
        <f t="shared" si="7"/>
        <v>1832</v>
      </c>
      <c r="F13" s="76">
        <f t="shared" si="8"/>
        <v>1038</v>
      </c>
      <c r="G13" s="76">
        <f t="shared" si="9"/>
        <v>754</v>
      </c>
      <c r="H13" s="76">
        <f t="shared" si="10"/>
        <v>720</v>
      </c>
      <c r="I13" s="76">
        <f t="shared" si="11"/>
        <v>684</v>
      </c>
      <c r="J13" s="76">
        <f t="shared" si="12"/>
        <v>715</v>
      </c>
      <c r="K13" s="76">
        <f t="shared" si="13"/>
        <v>852</v>
      </c>
      <c r="L13" s="76">
        <f t="shared" si="14"/>
        <v>949</v>
      </c>
      <c r="M13" s="76">
        <f t="shared" si="15"/>
        <v>799</v>
      </c>
      <c r="O13" s="22">
        <v>256</v>
      </c>
      <c r="P13" s="23">
        <v>264</v>
      </c>
      <c r="Q13" s="23">
        <v>333</v>
      </c>
      <c r="R13" s="23">
        <v>359</v>
      </c>
      <c r="S13" s="22">
        <v>295</v>
      </c>
      <c r="T13" s="23">
        <v>296</v>
      </c>
      <c r="U13" s="23">
        <v>355</v>
      </c>
      <c r="V13" s="23">
        <v>383</v>
      </c>
      <c r="W13" s="22">
        <v>429</v>
      </c>
      <c r="X13" s="23">
        <v>397</v>
      </c>
      <c r="Y13" s="23">
        <v>459</v>
      </c>
      <c r="Z13" s="23">
        <v>547</v>
      </c>
      <c r="AA13" s="22">
        <v>284</v>
      </c>
      <c r="AB13" s="23">
        <v>259</v>
      </c>
      <c r="AC13" s="23">
        <v>265</v>
      </c>
      <c r="AD13" s="23">
        <v>230</v>
      </c>
      <c r="AE13" s="22">
        <v>227</v>
      </c>
      <c r="AF13" s="23">
        <v>130</v>
      </c>
      <c r="AG13" s="23">
        <v>186</v>
      </c>
      <c r="AH13" s="23">
        <v>211</v>
      </c>
      <c r="AI13" s="22">
        <v>198</v>
      </c>
      <c r="AJ13" s="23">
        <v>88</v>
      </c>
      <c r="AK13" s="23">
        <v>237</v>
      </c>
      <c r="AL13" s="23">
        <v>197</v>
      </c>
      <c r="AM13" s="22">
        <v>143</v>
      </c>
      <c r="AN13" s="23">
        <v>198</v>
      </c>
      <c r="AO13" s="23">
        <v>184</v>
      </c>
      <c r="AP13" s="23">
        <v>159</v>
      </c>
      <c r="AQ13" s="22">
        <v>111</v>
      </c>
      <c r="AR13" s="23">
        <v>202</v>
      </c>
      <c r="AS13" s="23">
        <v>196</v>
      </c>
      <c r="AT13" s="23">
        <v>206</v>
      </c>
      <c r="AU13" s="22">
        <v>204</v>
      </c>
      <c r="AV13" s="23">
        <v>215</v>
      </c>
      <c r="AW13" s="23">
        <v>167</v>
      </c>
      <c r="AX13" s="23">
        <v>266</v>
      </c>
      <c r="AY13" s="25">
        <v>175</v>
      </c>
      <c r="AZ13" s="24">
        <v>193</v>
      </c>
      <c r="BA13" s="24">
        <v>318</v>
      </c>
      <c r="BB13" s="24">
        <v>263</v>
      </c>
      <c r="BC13" s="25">
        <v>298</v>
      </c>
      <c r="BD13" s="24">
        <v>258</v>
      </c>
      <c r="BE13" s="24">
        <v>243</v>
      </c>
      <c r="BF13" s="27"/>
      <c r="BG13" s="28"/>
      <c r="BH13" s="27"/>
      <c r="BI13" s="27"/>
      <c r="BJ13" s="27"/>
      <c r="BK13" s="23"/>
      <c r="BL13" s="29">
        <f t="shared" si="16"/>
        <v>684</v>
      </c>
      <c r="BM13" s="23">
        <f t="shared" si="17"/>
        <v>715</v>
      </c>
      <c r="BN13" s="23">
        <f t="shared" si="18"/>
        <v>852</v>
      </c>
      <c r="BO13" s="23">
        <f t="shared" si="19"/>
        <v>949</v>
      </c>
      <c r="BP13" s="23">
        <f t="shared" si="20"/>
        <v>799</v>
      </c>
      <c r="BQ13" s="23"/>
      <c r="BR13" s="23">
        <f t="shared" si="21"/>
        <v>952</v>
      </c>
      <c r="BS13" s="30">
        <f t="shared" si="22"/>
        <v>1062</v>
      </c>
      <c r="BT13" s="31">
        <f t="shared" si="23"/>
        <v>171</v>
      </c>
      <c r="BU13" s="31">
        <f t="shared" si="24"/>
        <v>178.75</v>
      </c>
      <c r="BV13" s="31">
        <f t="shared" si="25"/>
        <v>213</v>
      </c>
      <c r="BW13" s="31">
        <f t="shared" si="26"/>
        <v>237.25</v>
      </c>
      <c r="BX13" s="31">
        <f t="shared" si="27"/>
        <v>266.33333333333331</v>
      </c>
      <c r="BY13" s="32">
        <f t="shared" si="28"/>
        <v>203.45454545454547</v>
      </c>
      <c r="BZ13" s="33"/>
      <c r="CA13" s="34">
        <f t="shared" si="29"/>
        <v>-5.8139534883720922E-2</v>
      </c>
      <c r="CB13" s="34">
        <f t="shared" si="30"/>
        <v>-0.23584905660377353</v>
      </c>
      <c r="CC13" s="34">
        <f t="shared" si="31"/>
        <v>0.19436997319034854</v>
      </c>
      <c r="CD13" s="34">
        <f t="shared" si="2"/>
        <v>0.11554621848739499</v>
      </c>
      <c r="CE13" s="33"/>
      <c r="CF13" s="34">
        <f t="shared" si="3"/>
        <v>0.30905570449806352</v>
      </c>
      <c r="CG13" s="33"/>
      <c r="CH13" s="34">
        <f t="shared" si="4"/>
        <v>4.5321637426900541E-2</v>
      </c>
      <c r="CI13" s="34">
        <f t="shared" si="4"/>
        <v>0.19160839160839171</v>
      </c>
      <c r="CJ13" s="34">
        <f t="shared" si="4"/>
        <v>0.113849765258216</v>
      </c>
      <c r="CK13" s="34">
        <f t="shared" si="4"/>
        <v>-0.15806111696522651</v>
      </c>
    </row>
    <row r="14" spans="2:89" s="8" customFormat="1">
      <c r="B14" s="8" t="s">
        <v>70</v>
      </c>
      <c r="C14" s="76">
        <f t="shared" si="5"/>
        <v>1648.116</v>
      </c>
      <c r="D14" s="76">
        <f t="shared" si="6"/>
        <v>2366.0929999999998</v>
      </c>
      <c r="E14" s="76">
        <f t="shared" si="7"/>
        <v>3100.8130000000001</v>
      </c>
      <c r="F14" s="76">
        <f t="shared" si="8"/>
        <v>2152</v>
      </c>
      <c r="G14" s="76">
        <f t="shared" si="9"/>
        <v>1560</v>
      </c>
      <c r="H14" s="76">
        <f t="shared" si="10"/>
        <v>1469</v>
      </c>
      <c r="I14" s="76">
        <f t="shared" si="11"/>
        <v>1792</v>
      </c>
      <c r="J14" s="76">
        <f t="shared" si="12"/>
        <v>1491</v>
      </c>
      <c r="K14" s="76">
        <f t="shared" si="13"/>
        <v>1315</v>
      </c>
      <c r="L14" s="76">
        <f t="shared" si="14"/>
        <v>1627</v>
      </c>
      <c r="M14" s="76">
        <f t="shared" si="15"/>
        <v>1511</v>
      </c>
      <c r="O14" s="22">
        <v>352.60699999999997</v>
      </c>
      <c r="P14" s="23">
        <v>456.21899999999999</v>
      </c>
      <c r="Q14" s="23">
        <v>408.29</v>
      </c>
      <c r="R14" s="23">
        <v>431</v>
      </c>
      <c r="S14" s="22">
        <v>523.99199999999996</v>
      </c>
      <c r="T14" s="23">
        <v>542.55500000000006</v>
      </c>
      <c r="U14" s="23">
        <v>623.33400000000006</v>
      </c>
      <c r="V14" s="23">
        <v>676.21199999999999</v>
      </c>
      <c r="W14" s="22">
        <v>633</v>
      </c>
      <c r="X14" s="23">
        <v>783.30799999999999</v>
      </c>
      <c r="Y14" s="23">
        <v>802.59799999999996</v>
      </c>
      <c r="Z14" s="23">
        <v>881.90699999999993</v>
      </c>
      <c r="AA14" s="22">
        <v>627</v>
      </c>
      <c r="AB14" s="23">
        <v>370</v>
      </c>
      <c r="AC14" s="23">
        <v>576</v>
      </c>
      <c r="AD14" s="23">
        <v>579</v>
      </c>
      <c r="AE14" s="22">
        <v>479</v>
      </c>
      <c r="AF14" s="23">
        <v>393</v>
      </c>
      <c r="AG14" s="23">
        <v>384</v>
      </c>
      <c r="AH14" s="23">
        <v>304</v>
      </c>
      <c r="AI14" s="22">
        <v>305</v>
      </c>
      <c r="AJ14" s="23">
        <v>355</v>
      </c>
      <c r="AK14" s="23">
        <v>385</v>
      </c>
      <c r="AL14" s="23">
        <v>424</v>
      </c>
      <c r="AM14" s="22">
        <v>429</v>
      </c>
      <c r="AN14" s="23">
        <v>601</v>
      </c>
      <c r="AO14" s="23">
        <v>365</v>
      </c>
      <c r="AP14" s="23">
        <v>397</v>
      </c>
      <c r="AQ14" s="22">
        <v>281</v>
      </c>
      <c r="AR14" s="23">
        <v>356</v>
      </c>
      <c r="AS14" s="23">
        <v>389</v>
      </c>
      <c r="AT14" s="23">
        <v>465</v>
      </c>
      <c r="AU14" s="22">
        <v>255</v>
      </c>
      <c r="AV14" s="23">
        <v>304</v>
      </c>
      <c r="AW14" s="23">
        <v>322</v>
      </c>
      <c r="AX14" s="23">
        <v>434</v>
      </c>
      <c r="AY14" s="25">
        <v>383</v>
      </c>
      <c r="AZ14" s="24">
        <v>397</v>
      </c>
      <c r="BA14" s="26">
        <v>413</v>
      </c>
      <c r="BB14" s="26">
        <v>434</v>
      </c>
      <c r="BC14" s="35">
        <v>542</v>
      </c>
      <c r="BD14" s="26">
        <v>466</v>
      </c>
      <c r="BE14" s="26">
        <v>503</v>
      </c>
      <c r="BF14" s="27"/>
      <c r="BG14" s="28"/>
      <c r="BH14" s="27"/>
      <c r="BI14" s="27"/>
      <c r="BJ14" s="27"/>
      <c r="BK14" s="23"/>
      <c r="BL14" s="29">
        <f t="shared" si="16"/>
        <v>1792</v>
      </c>
      <c r="BM14" s="23">
        <f t="shared" si="17"/>
        <v>1491</v>
      </c>
      <c r="BN14" s="23">
        <f t="shared" si="18"/>
        <v>1315</v>
      </c>
      <c r="BO14" s="23">
        <f t="shared" si="19"/>
        <v>1627</v>
      </c>
      <c r="BP14" s="23">
        <f t="shared" si="20"/>
        <v>1511</v>
      </c>
      <c r="BQ14" s="23"/>
      <c r="BR14" s="23">
        <f t="shared" si="21"/>
        <v>1627</v>
      </c>
      <c r="BS14" s="30">
        <f t="shared" si="22"/>
        <v>1945</v>
      </c>
      <c r="BT14" s="31">
        <f t="shared" si="23"/>
        <v>448</v>
      </c>
      <c r="BU14" s="31">
        <f t="shared" si="24"/>
        <v>372.75</v>
      </c>
      <c r="BV14" s="31">
        <f t="shared" si="25"/>
        <v>328.75</v>
      </c>
      <c r="BW14" s="31">
        <f t="shared" si="26"/>
        <v>406.75</v>
      </c>
      <c r="BX14" s="31">
        <f t="shared" si="27"/>
        <v>503.66666666666669</v>
      </c>
      <c r="BY14" s="32">
        <f t="shared" si="28"/>
        <v>395.54545454545456</v>
      </c>
      <c r="BZ14" s="33"/>
      <c r="CA14" s="34">
        <f t="shared" si="29"/>
        <v>7.9399141630901227E-2</v>
      </c>
      <c r="CB14" s="34">
        <f t="shared" si="30"/>
        <v>0.21791767554479424</v>
      </c>
      <c r="CC14" s="34">
        <f t="shared" si="31"/>
        <v>0.27166168696851289</v>
      </c>
      <c r="CD14" s="34">
        <f t="shared" si="2"/>
        <v>0.19545175169022744</v>
      </c>
      <c r="CE14" s="33"/>
      <c r="CF14" s="34">
        <f t="shared" si="3"/>
        <v>0.27334712326668198</v>
      </c>
      <c r="CG14" s="33"/>
      <c r="CH14" s="34">
        <f t="shared" si="4"/>
        <v>-0.16796875</v>
      </c>
      <c r="CI14" s="34">
        <f t="shared" si="4"/>
        <v>-0.11804158283031518</v>
      </c>
      <c r="CJ14" s="34">
        <f t="shared" si="4"/>
        <v>0.23726235741444857</v>
      </c>
      <c r="CK14" s="34">
        <f t="shared" si="4"/>
        <v>-7.1296865396435205E-2</v>
      </c>
    </row>
    <row r="15" spans="2:89" s="8" customFormat="1" ht="15" customHeight="1">
      <c r="B15" s="36" t="s">
        <v>76</v>
      </c>
      <c r="C15" s="76">
        <f t="shared" ref="C15" si="32">SUM(O15:R15)</f>
        <v>1484.0232000000001</v>
      </c>
      <c r="D15" s="76">
        <f t="shared" ref="D15" si="33">SUM(S15:V15)</f>
        <v>1893.0186000000001</v>
      </c>
      <c r="E15" s="76">
        <f t="shared" ref="E15" si="34">SUM(W15:Z15)</f>
        <v>2775.9625999999998</v>
      </c>
      <c r="F15" s="76">
        <f t="shared" ref="F15" si="35">SUM(AA15:AD15)</f>
        <v>1780.8</v>
      </c>
      <c r="G15" s="76">
        <f t="shared" ref="G15" si="36">SUM(AE15:AH15)</f>
        <v>1280.2</v>
      </c>
      <c r="H15" s="76">
        <f t="shared" ref="H15" si="37">SUM(AI15:AL15)</f>
        <v>1347.8</v>
      </c>
      <c r="I15" s="76">
        <f t="shared" ref="I15" si="38">SUM(AM15:AP15)</f>
        <v>1489.6</v>
      </c>
      <c r="J15" s="76">
        <f t="shared" ref="J15" si="39">SUM(AQ15:AT15)</f>
        <v>1323</v>
      </c>
      <c r="K15" s="76">
        <f t="shared" ref="K15" si="40">SUM(AU15:AX15)</f>
        <v>1317.2</v>
      </c>
      <c r="L15" s="76">
        <f t="shared" ref="L15" si="41">SUM(AY15:BB15)</f>
        <v>1578.1999999999998</v>
      </c>
      <c r="M15" s="76">
        <f t="shared" ref="M15" si="42">SUM(BC15:BE15)</f>
        <v>1489.4</v>
      </c>
      <c r="N15" s="36"/>
      <c r="O15" s="37">
        <f t="shared" ref="O15:BE15" si="43">AVERAGE(O10:O14)</f>
        <v>299.32139999999998</v>
      </c>
      <c r="P15" s="38">
        <f t="shared" si="43"/>
        <v>350.04380000000003</v>
      </c>
      <c r="Q15" s="38">
        <f t="shared" si="43"/>
        <v>387.05799999999999</v>
      </c>
      <c r="R15" s="38">
        <f t="shared" si="43"/>
        <v>447.6</v>
      </c>
      <c r="S15" s="37">
        <f t="shared" si="43"/>
        <v>446.39840000000004</v>
      </c>
      <c r="T15" s="38">
        <f t="shared" si="43"/>
        <v>432.31100000000004</v>
      </c>
      <c r="U15" s="38">
        <f t="shared" si="43"/>
        <v>475.26679999999999</v>
      </c>
      <c r="V15" s="38">
        <f t="shared" si="43"/>
        <v>539.04240000000004</v>
      </c>
      <c r="W15" s="37">
        <f t="shared" si="43"/>
        <v>565</v>
      </c>
      <c r="X15" s="38">
        <f t="shared" si="43"/>
        <v>624.26160000000004</v>
      </c>
      <c r="Y15" s="38">
        <f t="shared" si="43"/>
        <v>763.31960000000004</v>
      </c>
      <c r="Z15" s="38">
        <f t="shared" si="43"/>
        <v>823.38139999999999</v>
      </c>
      <c r="AA15" s="37">
        <f t="shared" si="43"/>
        <v>483.2</v>
      </c>
      <c r="AB15" s="38">
        <f t="shared" si="43"/>
        <v>435.4</v>
      </c>
      <c r="AC15" s="38">
        <f t="shared" si="43"/>
        <v>475.4</v>
      </c>
      <c r="AD15" s="38">
        <f t="shared" si="43"/>
        <v>386.8</v>
      </c>
      <c r="AE15" s="37">
        <f t="shared" si="43"/>
        <v>394.6</v>
      </c>
      <c r="AF15" s="38">
        <f t="shared" si="43"/>
        <v>290.2</v>
      </c>
      <c r="AG15" s="38">
        <f t="shared" si="43"/>
        <v>276.2</v>
      </c>
      <c r="AH15" s="38">
        <f t="shared" si="43"/>
        <v>319.2</v>
      </c>
      <c r="AI15" s="37">
        <f t="shared" si="43"/>
        <v>292.2</v>
      </c>
      <c r="AJ15" s="38">
        <f t="shared" si="43"/>
        <v>288.8</v>
      </c>
      <c r="AK15" s="38">
        <f t="shared" si="43"/>
        <v>353</v>
      </c>
      <c r="AL15" s="38">
        <f t="shared" si="43"/>
        <v>413.8</v>
      </c>
      <c r="AM15" s="37">
        <f t="shared" si="43"/>
        <v>326.8</v>
      </c>
      <c r="AN15" s="38">
        <f t="shared" si="43"/>
        <v>470.2</v>
      </c>
      <c r="AO15" s="38">
        <f t="shared" si="43"/>
        <v>351.6</v>
      </c>
      <c r="AP15" s="38">
        <f t="shared" si="43"/>
        <v>341</v>
      </c>
      <c r="AQ15" s="37">
        <f t="shared" si="43"/>
        <v>279.39999999999998</v>
      </c>
      <c r="AR15" s="38">
        <f t="shared" si="43"/>
        <v>326</v>
      </c>
      <c r="AS15" s="38">
        <f t="shared" si="43"/>
        <v>330.8</v>
      </c>
      <c r="AT15" s="38">
        <f t="shared" si="43"/>
        <v>386.8</v>
      </c>
      <c r="AU15" s="37">
        <f t="shared" si="43"/>
        <v>290.2</v>
      </c>
      <c r="AV15" s="38">
        <f t="shared" si="43"/>
        <v>320</v>
      </c>
      <c r="AW15" s="38">
        <f t="shared" si="43"/>
        <v>288.60000000000002</v>
      </c>
      <c r="AX15" s="38">
        <f t="shared" si="43"/>
        <v>418.4</v>
      </c>
      <c r="AY15" s="37">
        <f t="shared" si="43"/>
        <v>372.4</v>
      </c>
      <c r="AZ15" s="38">
        <f t="shared" si="43"/>
        <v>355.6</v>
      </c>
      <c r="BA15" s="39">
        <f t="shared" si="43"/>
        <v>406.6</v>
      </c>
      <c r="BB15" s="38">
        <f t="shared" si="43"/>
        <v>443.6</v>
      </c>
      <c r="BC15" s="40">
        <f t="shared" si="43"/>
        <v>540</v>
      </c>
      <c r="BD15" s="38">
        <f t="shared" si="43"/>
        <v>448.8</v>
      </c>
      <c r="BE15" s="38">
        <f t="shared" si="43"/>
        <v>500.6</v>
      </c>
      <c r="BF15" s="41"/>
      <c r="BG15" s="40"/>
      <c r="BH15" s="41"/>
      <c r="BI15" s="41"/>
      <c r="BJ15" s="41"/>
      <c r="BK15" s="23"/>
      <c r="BL15" s="42">
        <f t="shared" si="16"/>
        <v>1489.6</v>
      </c>
      <c r="BM15" s="38">
        <f t="shared" si="17"/>
        <v>1323</v>
      </c>
      <c r="BN15" s="38">
        <f t="shared" si="18"/>
        <v>1317.2</v>
      </c>
      <c r="BO15" s="38">
        <f t="shared" si="19"/>
        <v>1578.1999999999998</v>
      </c>
      <c r="BP15" s="38">
        <f t="shared" si="20"/>
        <v>1489.4</v>
      </c>
      <c r="BQ15" s="23"/>
      <c r="BR15" s="38">
        <f t="shared" si="21"/>
        <v>1553</v>
      </c>
      <c r="BS15" s="43">
        <f t="shared" si="22"/>
        <v>1933</v>
      </c>
      <c r="BT15" s="44">
        <f t="shared" si="23"/>
        <v>372.4</v>
      </c>
      <c r="BU15" s="44">
        <f t="shared" si="24"/>
        <v>330.75</v>
      </c>
      <c r="BV15" s="44">
        <f t="shared" si="25"/>
        <v>329.3</v>
      </c>
      <c r="BW15" s="44">
        <f t="shared" si="26"/>
        <v>394.54999999999995</v>
      </c>
      <c r="BX15" s="44">
        <f t="shared" si="27"/>
        <v>496.4666666666667</v>
      </c>
      <c r="BY15" s="45">
        <f t="shared" si="28"/>
        <v>365.66363636363639</v>
      </c>
      <c r="BZ15" s="33"/>
      <c r="CA15" s="46">
        <f t="shared" si="29"/>
        <v>0.11541889483065959</v>
      </c>
      <c r="CB15" s="46">
        <f t="shared" si="30"/>
        <v>0.23118544023610421</v>
      </c>
      <c r="CC15" s="46">
        <f t="shared" si="31"/>
        <v>0.3690177261765657</v>
      </c>
      <c r="CD15" s="46">
        <f t="shared" si="2"/>
        <v>0.24468770122343853</v>
      </c>
      <c r="CE15" s="33"/>
      <c r="CF15" s="46">
        <f t="shared" si="3"/>
        <v>0.35771407735209548</v>
      </c>
      <c r="CG15" s="33"/>
      <c r="CH15" s="46">
        <f t="shared" si="4"/>
        <v>-0.11184210526315785</v>
      </c>
      <c r="CI15" s="46">
        <f t="shared" si="4"/>
        <v>-4.3839758125472361E-3</v>
      </c>
      <c r="CJ15" s="46">
        <f t="shared" si="4"/>
        <v>0.19814758578803504</v>
      </c>
      <c r="CK15" s="46">
        <f t="shared" si="4"/>
        <v>-5.6266632872893019E-2</v>
      </c>
    </row>
    <row r="16" spans="2:89" s="8" customFormat="1">
      <c r="O16" s="22"/>
      <c r="P16" s="23"/>
      <c r="Q16" s="23"/>
      <c r="R16" s="23"/>
      <c r="S16" s="22"/>
      <c r="T16" s="23"/>
      <c r="U16" s="23"/>
      <c r="V16" s="23"/>
      <c r="W16" s="22"/>
      <c r="X16" s="23"/>
      <c r="Y16" s="23"/>
      <c r="Z16" s="23"/>
      <c r="AA16" s="22"/>
      <c r="AB16" s="23"/>
      <c r="AC16" s="23"/>
      <c r="AD16" s="23"/>
      <c r="AE16" s="22"/>
      <c r="AF16" s="23"/>
      <c r="AG16" s="23"/>
      <c r="AH16" s="23"/>
      <c r="AI16" s="22"/>
      <c r="AJ16" s="23"/>
      <c r="AK16" s="23"/>
      <c r="AL16" s="23"/>
      <c r="AM16" s="22"/>
      <c r="AN16" s="23"/>
      <c r="AO16" s="23"/>
      <c r="AP16" s="23"/>
      <c r="AQ16" s="22"/>
      <c r="AR16" s="23"/>
      <c r="AS16" s="23"/>
      <c r="AT16" s="24"/>
      <c r="AU16" s="25"/>
      <c r="AV16" s="24"/>
      <c r="AW16" s="24"/>
      <c r="AX16" s="24"/>
      <c r="AY16" s="25"/>
      <c r="AZ16" s="24"/>
      <c r="BA16" s="26"/>
      <c r="BB16" s="24"/>
      <c r="BC16" s="25"/>
      <c r="BD16" s="24"/>
      <c r="BE16" s="24"/>
      <c r="BF16" s="24"/>
      <c r="BG16" s="25"/>
      <c r="BH16" s="24"/>
      <c r="BI16" s="24"/>
      <c r="BJ16" s="24"/>
      <c r="BK16" s="24"/>
      <c r="BL16" s="29"/>
      <c r="BM16" s="23"/>
      <c r="BN16" s="23"/>
      <c r="BO16" s="23"/>
      <c r="BP16" s="23"/>
      <c r="BQ16" s="23"/>
      <c r="BR16" s="23"/>
      <c r="BS16" s="30"/>
      <c r="BT16" s="31"/>
      <c r="BU16" s="31"/>
      <c r="BV16" s="31"/>
      <c r="BW16" s="31"/>
      <c r="BX16" s="31"/>
      <c r="BY16" s="32"/>
      <c r="BZ16" s="33"/>
      <c r="CA16" s="34"/>
      <c r="CB16" s="34"/>
      <c r="CC16" s="34"/>
      <c r="CD16" s="34"/>
      <c r="CE16" s="33"/>
      <c r="CF16" s="34"/>
      <c r="CG16" s="33"/>
      <c r="CH16" s="34"/>
      <c r="CI16" s="34"/>
      <c r="CJ16" s="34"/>
      <c r="CK16" s="34"/>
    </row>
    <row r="17" spans="2:89" s="8" customFormat="1" hidden="1" outlineLevel="1">
      <c r="B17" s="8" t="s">
        <v>71</v>
      </c>
      <c r="O17" s="22" t="s">
        <v>72</v>
      </c>
      <c r="P17" s="23" t="s">
        <v>72</v>
      </c>
      <c r="Q17" s="23" t="s">
        <v>72</v>
      </c>
      <c r="R17" s="23" t="s">
        <v>72</v>
      </c>
      <c r="S17" s="22" t="s">
        <v>72</v>
      </c>
      <c r="T17" s="23" t="s">
        <v>72</v>
      </c>
      <c r="U17" s="23" t="s">
        <v>72</v>
      </c>
      <c r="V17" s="23" t="s">
        <v>72</v>
      </c>
      <c r="W17" s="22" t="s">
        <v>72</v>
      </c>
      <c r="X17" s="23" t="s">
        <v>72</v>
      </c>
      <c r="Y17" s="23" t="s">
        <v>72</v>
      </c>
      <c r="Z17" s="23" t="s">
        <v>72</v>
      </c>
      <c r="AA17" s="22" t="s">
        <v>72</v>
      </c>
      <c r="AB17" s="23" t="s">
        <v>72</v>
      </c>
      <c r="AC17" s="23" t="s">
        <v>72</v>
      </c>
      <c r="AD17" s="23" t="s">
        <v>72</v>
      </c>
      <c r="AE17" s="22" t="s">
        <v>72</v>
      </c>
      <c r="AF17" s="23" t="s">
        <v>72</v>
      </c>
      <c r="AG17" s="23" t="s">
        <v>72</v>
      </c>
      <c r="AH17" s="23" t="s">
        <v>72</v>
      </c>
      <c r="AI17" s="22" t="s">
        <v>72</v>
      </c>
      <c r="AJ17" s="23" t="s">
        <v>72</v>
      </c>
      <c r="AK17" s="23" t="s">
        <v>72</v>
      </c>
      <c r="AL17" s="23" t="s">
        <v>72</v>
      </c>
      <c r="AM17" s="22" t="s">
        <v>72</v>
      </c>
      <c r="AN17" s="23" t="s">
        <v>72</v>
      </c>
      <c r="AO17" s="23" t="s">
        <v>72</v>
      </c>
      <c r="AP17" s="23" t="s">
        <v>72</v>
      </c>
      <c r="AQ17" s="22" t="s">
        <v>72</v>
      </c>
      <c r="AR17" s="23" t="s">
        <v>72</v>
      </c>
      <c r="AS17" s="23" t="s">
        <v>72</v>
      </c>
      <c r="AT17" s="24" t="s">
        <v>72</v>
      </c>
      <c r="AU17" s="25" t="s">
        <v>72</v>
      </c>
      <c r="AV17" s="24" t="s">
        <v>72</v>
      </c>
      <c r="AW17" s="24" t="s">
        <v>72</v>
      </c>
      <c r="AX17" s="24" t="s">
        <v>72</v>
      </c>
      <c r="AY17" s="25" t="s">
        <v>72</v>
      </c>
      <c r="AZ17" s="24" t="s">
        <v>72</v>
      </c>
      <c r="BA17" s="24" t="s">
        <v>72</v>
      </c>
      <c r="BB17" s="24" t="s">
        <v>72</v>
      </c>
      <c r="BC17" s="25" t="s">
        <v>72</v>
      </c>
      <c r="BD17" s="24" t="s">
        <v>72</v>
      </c>
      <c r="BE17" s="24" t="s">
        <v>72</v>
      </c>
      <c r="BF17" s="24"/>
      <c r="BG17" s="25"/>
      <c r="BH17" s="24"/>
      <c r="BI17" s="24"/>
      <c r="BJ17" s="24"/>
      <c r="BK17" s="24"/>
      <c r="BL17" s="29"/>
      <c r="BM17" s="23"/>
      <c r="BN17" s="23"/>
      <c r="BO17" s="23"/>
      <c r="BP17" s="23"/>
      <c r="BQ17" s="23"/>
      <c r="BR17" s="23"/>
      <c r="BS17" s="30"/>
      <c r="BT17" s="31"/>
      <c r="BU17" s="31"/>
      <c r="BV17" s="31"/>
      <c r="BW17" s="31"/>
      <c r="BX17" s="31"/>
      <c r="BY17" s="32"/>
      <c r="BZ17" s="33"/>
      <c r="CA17" s="34"/>
      <c r="CB17" s="34"/>
      <c r="CC17" s="34"/>
      <c r="CD17" s="34"/>
      <c r="CE17" s="33"/>
      <c r="CF17" s="34"/>
      <c r="CG17" s="33"/>
      <c r="CH17" s="34"/>
      <c r="CI17" s="34"/>
      <c r="CJ17" s="34"/>
      <c r="CK17" s="34"/>
    </row>
    <row r="18" spans="2:89" s="8" customFormat="1" hidden="1" outlineLevel="1">
      <c r="B18" s="8" t="s">
        <v>73</v>
      </c>
      <c r="O18" s="22">
        <f>225/1.18179093006696</f>
        <v>190.38900559784423</v>
      </c>
      <c r="P18" s="23">
        <f>369/1.2262072165063</f>
        <v>300.92793047764951</v>
      </c>
      <c r="Q18" s="23">
        <f>433/1.2731750919634</f>
        <v>340.09462071101171</v>
      </c>
      <c r="R18" s="23">
        <f>448/1.30106828551284</f>
        <v>344.33242665922995</v>
      </c>
      <c r="S18" s="22">
        <f>333/1.29571400088145</f>
        <v>257.00115903159673</v>
      </c>
      <c r="T18" s="23">
        <f>405/1.24200401859975</f>
        <v>326.0859014422528</v>
      </c>
      <c r="U18" s="23">
        <f>377/1.23727922517284</f>
        <v>304.70082446210597</v>
      </c>
      <c r="V18" s="23">
        <f>785/1.23509407876847</f>
        <v>635.57911376494872</v>
      </c>
      <c r="W18" s="22">
        <f>478/1.23273802977337</f>
        <v>387.75472846236181</v>
      </c>
      <c r="X18" s="23">
        <f>545/1.22240293114084</f>
        <v>445.84317176936435</v>
      </c>
      <c r="Y18" s="23">
        <f>399/1.19889112487371</f>
        <v>332.80753499783418</v>
      </c>
      <c r="Z18" s="23">
        <f>457/1.14587907122353</f>
        <v>398.82044403868133</v>
      </c>
      <c r="AA18" s="22">
        <f>382/1.06675970047235</f>
        <v>358.0937673506549</v>
      </c>
      <c r="AB18" s="23">
        <f>329/1.03106342716605</f>
        <v>319.0880321536373</v>
      </c>
      <c r="AC18" s="23">
        <f>319/1.07158969959517</f>
        <v>297.68856505480903</v>
      </c>
      <c r="AD18" s="23">
        <f>318/1.15387496023516</f>
        <v>275.59311966973576</v>
      </c>
      <c r="AE18" s="22">
        <f>191/1.14636850650843</f>
        <v>166.61309074316887</v>
      </c>
      <c r="AF18" s="23">
        <f>166/1.11054400750259</f>
        <v>149.47629168996514</v>
      </c>
      <c r="AG18" s="23">
        <f>107/1.06193206768699</f>
        <v>100.75974090608102</v>
      </c>
      <c r="AH18" s="23">
        <f>329/1.02143151890403</f>
        <v>322.09697264189441</v>
      </c>
      <c r="AI18" s="22">
        <f>216/1.0572</f>
        <v>204.31328036322361</v>
      </c>
      <c r="AJ18" s="23">
        <f>312/1.1085</f>
        <v>281.46143437077131</v>
      </c>
      <c r="AK18" s="23">
        <f>211/1.0321</f>
        <v>204.43755450053288</v>
      </c>
      <c r="AL18" s="23">
        <f>350/0.9731</f>
        <v>359.67526461823041</v>
      </c>
      <c r="AM18" s="22">
        <f>228/0.9412</f>
        <v>242.24394390140245</v>
      </c>
      <c r="AN18" s="23">
        <f>271/0.8698</f>
        <v>311.56587721315242</v>
      </c>
      <c r="AO18" s="23">
        <f>181/0.8254</f>
        <v>219.28761812454567</v>
      </c>
      <c r="AP18" s="23">
        <f>176/0.9124</f>
        <v>192.89785181937748</v>
      </c>
      <c r="AQ18" s="22">
        <f>213/0.9215</f>
        <v>231.14487249050461</v>
      </c>
      <c r="AR18" s="23">
        <f>234/0.9364</f>
        <v>249.89320803075609</v>
      </c>
      <c r="AS18" s="23">
        <f>288/0.9623</f>
        <v>299.28296788943157</v>
      </c>
      <c r="AT18" s="24">
        <f>307/0.931</f>
        <v>329.75295381310417</v>
      </c>
      <c r="AU18" s="25">
        <f>145/0.9304</f>
        <v>155.8469475494411</v>
      </c>
      <c r="AV18" s="24">
        <f>167/0.9429</f>
        <v>177.11316152296109</v>
      </c>
      <c r="AW18" s="24">
        <f>152/0.932202</f>
        <v>163.05478855441203</v>
      </c>
      <c r="AX18" s="24">
        <f>194/0.903041</f>
        <v>214.82966997068795</v>
      </c>
      <c r="AY18" s="25">
        <f>180/0.892953968253968</f>
        <v>201.57813997059881</v>
      </c>
      <c r="AZ18" s="24">
        <f>161/0.8890421875</f>
        <v>181.09376839892653</v>
      </c>
      <c r="BA18" s="26">
        <f>170/0.955109837631328</f>
        <v>177.98999999999992</v>
      </c>
      <c r="BB18" s="24">
        <f>237/0.964156153846154</f>
        <v>245.81080466537892</v>
      </c>
      <c r="BC18" s="25">
        <f>132/0.953146825396825</f>
        <v>138.48863205838643</v>
      </c>
      <c r="BD18" s="24">
        <f>207/0.941266666666666</f>
        <v>219.9164246759687</v>
      </c>
      <c r="BE18" s="24">
        <f>192/0.9862</f>
        <v>194.68667613060231</v>
      </c>
      <c r="BF18" s="24"/>
      <c r="BG18" s="25"/>
      <c r="BH18" s="24"/>
      <c r="BI18" s="24"/>
      <c r="BJ18" s="24"/>
      <c r="BK18" s="24"/>
      <c r="BL18" s="29">
        <f t="shared" ref="BL18:BL22" si="44">SUM(AM18:AP18)</f>
        <v>965.99529105847807</v>
      </c>
      <c r="BM18" s="23">
        <f t="shared" ref="BM18:BM22" si="45">SUM(AQ18:AT18)</f>
        <v>1110.0740022237965</v>
      </c>
      <c r="BN18" s="23">
        <f t="shared" ref="BN18:BN22" si="46">SUM(AU18:AX18)</f>
        <v>710.84456759750219</v>
      </c>
      <c r="BO18" s="23">
        <f t="shared" ref="BO18:BO22" si="47">SUM(AY18:BB18)</f>
        <v>806.47271303490413</v>
      </c>
      <c r="BP18" s="23">
        <f t="shared" ref="BP18:BP22" si="48">SUM(BC18:BF18)</f>
        <v>553.09173286495741</v>
      </c>
      <c r="BQ18" s="23"/>
      <c r="BR18" s="23">
        <f t="shared" ref="BR18:BR22" si="49">SUM(AX18:BA18)</f>
        <v>775.49157834021321</v>
      </c>
      <c r="BS18" s="30">
        <f t="shared" ref="BS18:BS22" si="50">SUM(BB18:BE18)</f>
        <v>798.9025375303363</v>
      </c>
      <c r="BT18" s="31">
        <f t="shared" ref="BT18:BT22" si="51">AVERAGE(AM18:AP18)</f>
        <v>241.49882276461952</v>
      </c>
      <c r="BU18" s="31">
        <f t="shared" ref="BU18:BU22" si="52">AVERAGE(AQ18:AT18)</f>
        <v>277.51850055594912</v>
      </c>
      <c r="BV18" s="31">
        <f t="shared" ref="BV18:BV22" si="53">AVERAGE(AU18:AX18)</f>
        <v>177.71114189937555</v>
      </c>
      <c r="BW18" s="31">
        <f t="shared" ref="BW18:BW22" si="54">AVERAGE(AY18:BB18)</f>
        <v>201.61817825872603</v>
      </c>
      <c r="BX18" s="31">
        <f t="shared" ref="BX18:BX22" si="55">AVERAGE(BC18:BF18)</f>
        <v>184.36391095498581</v>
      </c>
      <c r="BY18" s="32">
        <f t="shared" ref="BY18:BY22" si="56">AVERAGE(AI18:BD18)</f>
        <v>227.34905293189968</v>
      </c>
      <c r="BZ18" s="33"/>
      <c r="CA18" s="34">
        <f t="shared" ref="CA18:CA22" si="57">BE18/BD18-1</f>
        <v>-0.11472425755620863</v>
      </c>
      <c r="CB18" s="34">
        <f t="shared" ref="CB18:CB22" si="58">BE18/BA18-1</f>
        <v>9.380682134166185E-2</v>
      </c>
      <c r="CC18" s="34">
        <f t="shared" ref="CC18:CC22" si="59">BE18/BY18-1</f>
        <v>-0.1436662100856918</v>
      </c>
      <c r="CD18" s="34">
        <f t="shared" ref="CD18:CD22" si="60">BS18/BR18-1</f>
        <v>3.0188540848154144E-2</v>
      </c>
      <c r="CE18" s="33"/>
      <c r="CF18" s="34">
        <f t="shared" ref="CF18:CF22" si="61">BX18/BY18-1</f>
        <v>-0.18907112839299867</v>
      </c>
      <c r="CG18" s="33"/>
      <c r="CH18" s="34">
        <f t="shared" ref="CH18:CK22" si="62">BM18/BL18-1</f>
        <v>0.14915053158017555</v>
      </c>
      <c r="CI18" s="34">
        <f t="shared" si="62"/>
        <v>-0.35964218045510776</v>
      </c>
      <c r="CJ18" s="34">
        <f t="shared" si="62"/>
        <v>0.13452750403735081</v>
      </c>
      <c r="CK18" s="34">
        <f t="shared" si="62"/>
        <v>-0.3141841950441544</v>
      </c>
    </row>
    <row r="19" spans="2:89" s="8" customFormat="1" hidden="1" outlineLevel="1">
      <c r="B19" s="8" t="s">
        <v>74</v>
      </c>
      <c r="O19" s="22">
        <f>114*1.310659375</f>
        <v>149.41516874999999</v>
      </c>
      <c r="P19" s="23">
        <f>145*1.25901230769231</f>
        <v>182.55678461538497</v>
      </c>
      <c r="Q19" s="23">
        <f>148*1.22021818181818</f>
        <v>180.59229090909065</v>
      </c>
      <c r="R19" s="23">
        <f>197*1.18926615384615</f>
        <v>234.28543230769154</v>
      </c>
      <c r="S19" s="22">
        <f>201*1.20340769230769</f>
        <v>241.88494615384568</v>
      </c>
      <c r="T19" s="23">
        <f>158*1.25839538461538</f>
        <v>198.82647076923001</v>
      </c>
      <c r="U19" s="23">
        <f>209*1.27458307692308</f>
        <v>266.38786307692368</v>
      </c>
      <c r="V19" s="23">
        <f>232*1.28997538461538</f>
        <v>299.2742892307682</v>
      </c>
      <c r="W19" s="22">
        <f>250*1.31110461538462</f>
        <v>327.77615384615501</v>
      </c>
      <c r="X19" s="23">
        <f>256*1.34827846153846</f>
        <v>345.15928615384576</v>
      </c>
      <c r="Y19" s="23">
        <f>269*1.37456923076923</f>
        <v>369.75912307692289</v>
      </c>
      <c r="Z19" s="23">
        <f>314*1.44840303030303</f>
        <v>454.79855151515142</v>
      </c>
      <c r="AA19" s="22">
        <f>128*1.49919384615385</f>
        <v>191.89681230769281</v>
      </c>
      <c r="AB19" s="23">
        <f>125*1.56319846153846</f>
        <v>195.39980769230749</v>
      </c>
      <c r="AC19" s="23">
        <f>185*1.50399242424242</f>
        <v>278.23859848484773</v>
      </c>
      <c r="AD19" s="23">
        <f>152*1.32013787878788</f>
        <v>200.66095757575775</v>
      </c>
      <c r="AE19" s="22">
        <f>129*1.3063203125</f>
        <v>168.51532031249999</v>
      </c>
      <c r="AF19" s="23">
        <f>72*1.36302923076923</f>
        <v>98.138104615384563</v>
      </c>
      <c r="AG19" s="23">
        <f>95*1.43024393939394</f>
        <v>135.87317424242428</v>
      </c>
      <c r="AH19" s="23">
        <f>105*1.47664393939394</f>
        <v>155.04761363636368</v>
      </c>
      <c r="AI19" s="22">
        <f>131*1.3848</f>
        <v>181.40880000000001</v>
      </c>
      <c r="AJ19" s="23">
        <f>124*1.2731</f>
        <v>157.86439999999999</v>
      </c>
      <c r="AK19" s="23">
        <f>137*1.2917</f>
        <v>176.96290000000002</v>
      </c>
      <c r="AL19" s="23">
        <f>181*1.3592</f>
        <v>246.01519999999999</v>
      </c>
      <c r="AM19" s="22">
        <f>159*1.3687</f>
        <v>217.6233</v>
      </c>
      <c r="AN19" s="23">
        <f>152*1.4394</f>
        <v>218.78880000000001</v>
      </c>
      <c r="AO19" s="23">
        <f>138*1.4136</f>
        <v>195.07679999999999</v>
      </c>
      <c r="AP19" s="23">
        <f>172*1.3482</f>
        <v>231.8904</v>
      </c>
      <c r="AQ19" s="22">
        <f>121*1.3114</f>
        <v>158.67939999999999</v>
      </c>
      <c r="AR19" s="23">
        <f>136*1.2836</f>
        <v>174.56960000000001</v>
      </c>
      <c r="AS19" s="23">
        <f>159*1.2513</f>
        <v>198.95670000000001</v>
      </c>
      <c r="AT19" s="24">
        <f>173*1.2975</f>
        <v>224.46750000000003</v>
      </c>
      <c r="AU19" s="25">
        <f>69*1.3202</f>
        <v>91.093800000000002</v>
      </c>
      <c r="AV19" s="24">
        <f>116*1.3057</f>
        <v>151.46120000000002</v>
      </c>
      <c r="AW19" s="24">
        <f>155*1.32442</f>
        <v>205.2851</v>
      </c>
      <c r="AX19" s="23">
        <f>140*1.361378</f>
        <v>190.59291999999999</v>
      </c>
      <c r="AY19" s="25">
        <f>106.8*1.37026825396825</f>
        <v>146.3446495238091</v>
      </c>
      <c r="AZ19" s="24">
        <f>130.42*1.3713453125</f>
        <v>178.85085565624996</v>
      </c>
      <c r="BA19" s="26">
        <f>155.35*1.26871352448617</f>
        <v>197.09464602892652</v>
      </c>
      <c r="BB19" s="23">
        <f>187.75*1.24938230769231</f>
        <v>234.57152826923121</v>
      </c>
      <c r="BC19" s="25">
        <f>145.42*1.1254753968254</f>
        <v>163.66663220634968</v>
      </c>
      <c r="BD19" s="24">
        <f>144.48*1.10673095238095</f>
        <v>159.90048799999965</v>
      </c>
      <c r="BE19" s="24">
        <f>181*1.11170378787879</f>
        <v>201.21838560606102</v>
      </c>
      <c r="BF19" s="23"/>
      <c r="BG19" s="25"/>
      <c r="BH19" s="24"/>
      <c r="BI19" s="24"/>
      <c r="BJ19" s="23"/>
      <c r="BK19" s="24"/>
      <c r="BL19" s="29">
        <f t="shared" si="44"/>
        <v>863.37930000000006</v>
      </c>
      <c r="BM19" s="23">
        <f t="shared" si="45"/>
        <v>756.67319999999995</v>
      </c>
      <c r="BN19" s="23">
        <f t="shared" si="46"/>
        <v>638.43301999999994</v>
      </c>
      <c r="BO19" s="23">
        <f t="shared" si="47"/>
        <v>756.86167947821673</v>
      </c>
      <c r="BP19" s="23">
        <f t="shared" si="48"/>
        <v>524.78550581241029</v>
      </c>
      <c r="BQ19" s="23"/>
      <c r="BR19" s="23">
        <f t="shared" si="49"/>
        <v>712.88307120898548</v>
      </c>
      <c r="BS19" s="30">
        <f t="shared" si="50"/>
        <v>759.35703408164159</v>
      </c>
      <c r="BT19" s="31">
        <f t="shared" si="51"/>
        <v>215.84482500000001</v>
      </c>
      <c r="BU19" s="31">
        <f t="shared" si="52"/>
        <v>189.16829999999999</v>
      </c>
      <c r="BV19" s="31">
        <f t="shared" si="53"/>
        <v>159.60825499999999</v>
      </c>
      <c r="BW19" s="31">
        <f t="shared" si="54"/>
        <v>189.21541986955418</v>
      </c>
      <c r="BX19" s="31">
        <f t="shared" si="55"/>
        <v>174.92850193747009</v>
      </c>
      <c r="BY19" s="32">
        <f t="shared" si="56"/>
        <v>186.41661907657124</v>
      </c>
      <c r="BZ19" s="33"/>
      <c r="CA19" s="34">
        <f t="shared" si="57"/>
        <v>0.25839757040679867</v>
      </c>
      <c r="CB19" s="34">
        <f t="shared" si="58"/>
        <v>2.0922636206613499E-2</v>
      </c>
      <c r="CC19" s="34">
        <f t="shared" si="59"/>
        <v>7.940153942717898E-2</v>
      </c>
      <c r="CD19" s="34">
        <f t="shared" si="60"/>
        <v>6.5191564717395289E-2</v>
      </c>
      <c r="CE19" s="33"/>
      <c r="CF19" s="34">
        <f t="shared" si="61"/>
        <v>-6.1626035253768752E-2</v>
      </c>
      <c r="CG19" s="33"/>
      <c r="CH19" s="34">
        <f t="shared" si="62"/>
        <v>-0.12359121883047242</v>
      </c>
      <c r="CI19" s="34">
        <f t="shared" si="62"/>
        <v>-0.15626320583311271</v>
      </c>
      <c r="CJ19" s="34">
        <f t="shared" si="62"/>
        <v>0.18549895724099108</v>
      </c>
      <c r="CK19" s="34">
        <f t="shared" si="62"/>
        <v>-0.30662957308896999</v>
      </c>
    </row>
    <row r="20" spans="2:89" s="8" customFormat="1" hidden="1" outlineLevel="1">
      <c r="B20" s="8" t="s">
        <v>75</v>
      </c>
      <c r="O20" s="22">
        <f>187/1.18179093006696</f>
        <v>158.23441798576388</v>
      </c>
      <c r="P20" s="23">
        <f>387/1.2262072165063</f>
        <v>315.6073417204617</v>
      </c>
      <c r="Q20" s="23">
        <f>377/1.2731750919634</f>
        <v>296.11009701628507</v>
      </c>
      <c r="R20" s="23">
        <f>509/1.30106828551284</f>
        <v>391.216975824884</v>
      </c>
      <c r="S20" s="22">
        <f>358/1.29571400088145</f>
        <v>276.29554034027518</v>
      </c>
      <c r="T20" s="23">
        <f>412/1.24200401859975</f>
        <v>331.72195405977322</v>
      </c>
      <c r="U20" s="23">
        <f>504/1.23727922517284</f>
        <v>407.34539928090561</v>
      </c>
      <c r="V20" s="23">
        <f>547/1.23509407876847</f>
        <v>442.88124233048018</v>
      </c>
      <c r="W20" s="22">
        <f>438/1.23273802977337</f>
        <v>355.30663403036499</v>
      </c>
      <c r="X20" s="23">
        <f>697/1.22240293114084</f>
        <v>570.18842334540727</v>
      </c>
      <c r="Y20" s="23">
        <f>820/1.19889112487371</f>
        <v>683.96536014592482</v>
      </c>
      <c r="Z20" s="23">
        <f>742/1.14587907122353</f>
        <v>647.53778878928131</v>
      </c>
      <c r="AA20" s="22">
        <f>376/1.06675970047235</f>
        <v>352.46925791582788</v>
      </c>
      <c r="AB20" s="23">
        <f>437/1.03106342716605</f>
        <v>423.83425547458813</v>
      </c>
      <c r="AC20" s="23">
        <f>448/1.07158969959517</f>
        <v>418.07046126819574</v>
      </c>
      <c r="AD20" s="23">
        <f>348/1.15387496023516</f>
        <v>301.59247058197496</v>
      </c>
      <c r="AE20" s="22">
        <f>215/1.14636850650843</f>
        <v>187.54876706691783</v>
      </c>
      <c r="AF20" s="23">
        <f>211/1.11054400750259</f>
        <v>189.99697317218462</v>
      </c>
      <c r="AG20" s="23">
        <f>200/1.06193206768699</f>
        <v>188.33596431043182</v>
      </c>
      <c r="AH20" s="23">
        <f>233/1.02143151890403</f>
        <v>228.11122986492828</v>
      </c>
      <c r="AI20" s="22">
        <f>208/1.0572</f>
        <v>196.74612183125237</v>
      </c>
      <c r="AJ20" s="23">
        <f>153/1.1085</f>
        <v>138.02435723951285</v>
      </c>
      <c r="AK20" s="23">
        <f>221/1.0321</f>
        <v>214.12653812615056</v>
      </c>
      <c r="AL20" s="23">
        <f>264/0.9731</f>
        <v>271.29791388346524</v>
      </c>
      <c r="AM20" s="22">
        <f>273/0.9412</f>
        <v>290.0552486187845</v>
      </c>
      <c r="AN20" s="23">
        <f>236/0.8698</f>
        <v>271.3267417797195</v>
      </c>
      <c r="AO20" s="23">
        <f>201/0.8254</f>
        <v>243.51829416040707</v>
      </c>
      <c r="AP20" s="23">
        <f>254/0.9214</f>
        <v>275.66746255697853</v>
      </c>
      <c r="AQ20" s="22">
        <f>169/0.9215</f>
        <v>183.39663591969614</v>
      </c>
      <c r="AR20" s="23">
        <f>122/0.9364</f>
        <v>130.28620247757368</v>
      </c>
      <c r="AS20" s="23">
        <f>167/0.9623</f>
        <v>173.54255429699677</v>
      </c>
      <c r="AT20" s="24">
        <f>180/0.932972</f>
        <v>192.93183503899365</v>
      </c>
      <c r="AU20" s="25">
        <f>114/0.930375</f>
        <v>122.53123740427247</v>
      </c>
      <c r="AV20" s="24">
        <f>163/0.9429</f>
        <v>172.87093010923746</v>
      </c>
      <c r="AW20" s="24">
        <f>113/0.932202</f>
        <v>121.21836254374053</v>
      </c>
      <c r="AX20" s="24">
        <f>198/0.90304</f>
        <v>219.25939050318925</v>
      </c>
      <c r="AY20" s="25">
        <f>153/0.892953968253968</f>
        <v>171.34141897500899</v>
      </c>
      <c r="AZ20" s="24">
        <f>165/0.8890421875</f>
        <v>185.59299245852719</v>
      </c>
      <c r="BA20" s="26">
        <f>149/0.955109837631328</f>
        <v>156.00299999999993</v>
      </c>
      <c r="BB20" s="24">
        <f>242/0.964156153846154</f>
        <v>250.99668662034472</v>
      </c>
      <c r="BC20" s="25">
        <f>172/0.953146825396825</f>
        <v>180.45488419729142</v>
      </c>
      <c r="BD20" s="24">
        <f>184/0.941266666666666</f>
        <v>195.48126637863885</v>
      </c>
      <c r="BE20" s="24">
        <f>126/0.9862</f>
        <v>127.76313121070777</v>
      </c>
      <c r="BF20" s="24"/>
      <c r="BG20" s="25"/>
      <c r="BH20" s="24"/>
      <c r="BI20" s="24"/>
      <c r="BJ20" s="24"/>
      <c r="BK20" s="24"/>
      <c r="BL20" s="29">
        <f t="shared" si="44"/>
        <v>1080.5677471158897</v>
      </c>
      <c r="BM20" s="23">
        <f t="shared" si="45"/>
        <v>680.15722773326024</v>
      </c>
      <c r="BN20" s="23">
        <f t="shared" si="46"/>
        <v>635.8799205604397</v>
      </c>
      <c r="BO20" s="23">
        <f t="shared" si="47"/>
        <v>763.9340980538808</v>
      </c>
      <c r="BP20" s="23">
        <f t="shared" si="48"/>
        <v>503.69928178663804</v>
      </c>
      <c r="BQ20" s="23"/>
      <c r="BR20" s="23">
        <f t="shared" si="49"/>
        <v>732.19680193672536</v>
      </c>
      <c r="BS20" s="30">
        <f t="shared" si="50"/>
        <v>754.69596840698273</v>
      </c>
      <c r="BT20" s="31">
        <f t="shared" si="51"/>
        <v>270.14193677897242</v>
      </c>
      <c r="BU20" s="31">
        <f t="shared" si="52"/>
        <v>170.03930693331506</v>
      </c>
      <c r="BV20" s="31">
        <f t="shared" si="53"/>
        <v>158.96998014010993</v>
      </c>
      <c r="BW20" s="31">
        <f t="shared" si="54"/>
        <v>190.9835245134702</v>
      </c>
      <c r="BX20" s="31">
        <f t="shared" si="55"/>
        <v>167.89976059554601</v>
      </c>
      <c r="BY20" s="32">
        <f t="shared" si="56"/>
        <v>198.03045795999006</v>
      </c>
      <c r="BZ20" s="33"/>
      <c r="CA20" s="34">
        <f t="shared" si="57"/>
        <v>-0.34641751827391964</v>
      </c>
      <c r="CB20" s="34">
        <f t="shared" si="58"/>
        <v>-0.18102131875215333</v>
      </c>
      <c r="CC20" s="34">
        <f t="shared" si="59"/>
        <v>-0.35483090567552522</v>
      </c>
      <c r="CD20" s="34">
        <f t="shared" si="60"/>
        <v>3.0728304754602975E-2</v>
      </c>
      <c r="CE20" s="33"/>
      <c r="CF20" s="34">
        <f t="shared" si="61"/>
        <v>-0.1521518339897574</v>
      </c>
      <c r="CG20" s="33"/>
      <c r="CH20" s="34">
        <f t="shared" si="62"/>
        <v>-0.37055568283557683</v>
      </c>
      <c r="CI20" s="34">
        <f t="shared" si="62"/>
        <v>-6.5098635091157098E-2</v>
      </c>
      <c r="CJ20" s="34">
        <f t="shared" si="62"/>
        <v>0.20138106795474719</v>
      </c>
      <c r="CK20" s="34">
        <f t="shared" si="62"/>
        <v>-0.34065087149557793</v>
      </c>
    </row>
    <row r="21" spans="2:89" s="8" customFormat="1" hidden="1" outlineLevel="1">
      <c r="B21" s="47" t="s">
        <v>76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7">
        <f t="shared" ref="O21:AH21" si="63">AVERAGE(O17:O20)</f>
        <v>166.0128641112027</v>
      </c>
      <c r="P21" s="38">
        <f t="shared" si="63"/>
        <v>266.36401893783204</v>
      </c>
      <c r="Q21" s="38">
        <f t="shared" si="63"/>
        <v>272.26566954546246</v>
      </c>
      <c r="R21" s="38">
        <f t="shared" si="63"/>
        <v>323.27827826393519</v>
      </c>
      <c r="S21" s="37">
        <f t="shared" si="63"/>
        <v>258.39388184190585</v>
      </c>
      <c r="T21" s="38">
        <f t="shared" si="63"/>
        <v>285.54477542375201</v>
      </c>
      <c r="U21" s="38">
        <f t="shared" si="63"/>
        <v>326.14469560664514</v>
      </c>
      <c r="V21" s="38">
        <f t="shared" si="63"/>
        <v>459.24488177539905</v>
      </c>
      <c r="W21" s="37">
        <f t="shared" si="63"/>
        <v>356.94583877962731</v>
      </c>
      <c r="X21" s="38">
        <f t="shared" si="63"/>
        <v>453.73029375620581</v>
      </c>
      <c r="Y21" s="38">
        <f t="shared" si="63"/>
        <v>462.17733940689396</v>
      </c>
      <c r="Z21" s="38">
        <f t="shared" si="63"/>
        <v>500.38559478103798</v>
      </c>
      <c r="AA21" s="37">
        <f t="shared" si="63"/>
        <v>300.81994585805859</v>
      </c>
      <c r="AB21" s="38">
        <f t="shared" si="63"/>
        <v>312.77403177351101</v>
      </c>
      <c r="AC21" s="38">
        <f t="shared" si="63"/>
        <v>331.33254160261748</v>
      </c>
      <c r="AD21" s="38">
        <f t="shared" si="63"/>
        <v>259.28218260915611</v>
      </c>
      <c r="AE21" s="37">
        <f t="shared" si="63"/>
        <v>174.22572604086221</v>
      </c>
      <c r="AF21" s="38">
        <f t="shared" si="63"/>
        <v>145.87045649251147</v>
      </c>
      <c r="AG21" s="38">
        <f t="shared" si="63"/>
        <v>141.65629315297903</v>
      </c>
      <c r="AH21" s="38">
        <f t="shared" si="63"/>
        <v>235.08527204772881</v>
      </c>
      <c r="AI21" s="37">
        <f>AVERAGE(AI17:AI20)</f>
        <v>194.15606739815868</v>
      </c>
      <c r="AJ21" s="38">
        <f t="shared" ref="AJ21:AL21" si="64">AVERAGE(AJ17:AJ20)</f>
        <v>192.45006387009471</v>
      </c>
      <c r="AK21" s="38">
        <f t="shared" si="64"/>
        <v>198.5089975422278</v>
      </c>
      <c r="AL21" s="38">
        <f t="shared" si="64"/>
        <v>292.32945950056524</v>
      </c>
      <c r="AM21" s="37">
        <f>AVERAGE(AM17:AM20)</f>
        <v>249.97416417339568</v>
      </c>
      <c r="AN21" s="38">
        <f t="shared" ref="AN21:AP21" si="65">AVERAGE(AN17:AN20)</f>
        <v>267.22713966429063</v>
      </c>
      <c r="AO21" s="38">
        <f t="shared" si="65"/>
        <v>219.29423742831759</v>
      </c>
      <c r="AP21" s="38">
        <f t="shared" si="65"/>
        <v>233.48523812545201</v>
      </c>
      <c r="AQ21" s="37">
        <f>AVERAGE(AQ17:AQ20)</f>
        <v>191.0736361367336</v>
      </c>
      <c r="AR21" s="38">
        <f t="shared" ref="AR21:AT21" si="66">AVERAGE(AR17:AR20)</f>
        <v>184.91633683610993</v>
      </c>
      <c r="AS21" s="38">
        <f t="shared" si="66"/>
        <v>223.92740739547614</v>
      </c>
      <c r="AT21" s="38">
        <f t="shared" si="66"/>
        <v>249.05076295069929</v>
      </c>
      <c r="AU21" s="37">
        <f>AVERAGE(AU17:AU20)</f>
        <v>123.15732831790451</v>
      </c>
      <c r="AV21" s="38">
        <f t="shared" ref="AV21:BE21" si="67">AVERAGE(AV17:AV20)</f>
        <v>167.1484305440662</v>
      </c>
      <c r="AW21" s="38">
        <f t="shared" si="67"/>
        <v>163.18608369938417</v>
      </c>
      <c r="AX21" s="38">
        <f t="shared" si="67"/>
        <v>208.22732682462572</v>
      </c>
      <c r="AY21" s="37">
        <f t="shared" si="67"/>
        <v>173.08806948980563</v>
      </c>
      <c r="AZ21" s="38">
        <f t="shared" si="67"/>
        <v>181.84587217123456</v>
      </c>
      <c r="BA21" s="39">
        <f t="shared" si="67"/>
        <v>177.02921534297548</v>
      </c>
      <c r="BB21" s="38">
        <f t="shared" si="67"/>
        <v>243.79300651831829</v>
      </c>
      <c r="BC21" s="37">
        <f t="shared" si="67"/>
        <v>160.8700494873425</v>
      </c>
      <c r="BD21" s="38">
        <f t="shared" si="67"/>
        <v>191.76605968486908</v>
      </c>
      <c r="BE21" s="39">
        <f t="shared" si="67"/>
        <v>174.55606431579039</v>
      </c>
      <c r="BF21" s="38"/>
      <c r="BG21" s="37"/>
      <c r="BH21" s="38"/>
      <c r="BI21" s="38"/>
      <c r="BJ21" s="38"/>
      <c r="BK21" s="23"/>
      <c r="BL21" s="42">
        <f t="shared" si="44"/>
        <v>969.98077939145594</v>
      </c>
      <c r="BM21" s="38">
        <f t="shared" si="45"/>
        <v>848.96814331901896</v>
      </c>
      <c r="BN21" s="38">
        <f t="shared" si="46"/>
        <v>661.71916938598065</v>
      </c>
      <c r="BO21" s="38">
        <f t="shared" si="47"/>
        <v>775.75616352233396</v>
      </c>
      <c r="BP21" s="38">
        <f t="shared" si="48"/>
        <v>527.19217348800203</v>
      </c>
      <c r="BQ21" s="23"/>
      <c r="BR21" s="38">
        <f t="shared" si="49"/>
        <v>740.19048382864139</v>
      </c>
      <c r="BS21" s="43">
        <f t="shared" si="50"/>
        <v>770.98518000632032</v>
      </c>
      <c r="BT21" s="44">
        <f t="shared" si="51"/>
        <v>242.49519484786398</v>
      </c>
      <c r="BU21" s="44">
        <f t="shared" si="52"/>
        <v>212.24203582975474</v>
      </c>
      <c r="BV21" s="44">
        <f t="shared" si="53"/>
        <v>165.42979234649516</v>
      </c>
      <c r="BW21" s="44">
        <f t="shared" si="54"/>
        <v>193.93904088058349</v>
      </c>
      <c r="BX21" s="44">
        <f t="shared" si="55"/>
        <v>175.73072449600068</v>
      </c>
      <c r="BY21" s="45">
        <f t="shared" si="56"/>
        <v>203.93204332282036</v>
      </c>
      <c r="BZ21" s="33"/>
      <c r="CA21" s="46">
        <f t="shared" si="57"/>
        <v>-8.9744741052509625E-2</v>
      </c>
      <c r="CB21" s="46">
        <f t="shared" si="58"/>
        <v>-1.3970298757714161E-2</v>
      </c>
      <c r="CC21" s="46">
        <f t="shared" si="59"/>
        <v>-0.14404788246312217</v>
      </c>
      <c r="CD21" s="46">
        <f t="shared" si="60"/>
        <v>4.1603745050048602E-2</v>
      </c>
      <c r="CE21" s="33"/>
      <c r="CF21" s="46">
        <f t="shared" si="61"/>
        <v>-0.13828782552910313</v>
      </c>
      <c r="CG21" s="33"/>
      <c r="CH21" s="46">
        <f t="shared" si="62"/>
        <v>-0.12475776700272101</v>
      </c>
      <c r="CI21" s="46">
        <f t="shared" si="62"/>
        <v>-0.22056065991003304</v>
      </c>
      <c r="CJ21" s="46">
        <f t="shared" si="62"/>
        <v>0.1723344273707077</v>
      </c>
      <c r="CK21" s="46">
        <f t="shared" si="62"/>
        <v>-0.32041510170634413</v>
      </c>
    </row>
    <row r="22" spans="2:89" s="8" customFormat="1" hidden="1" outlineLevel="1">
      <c r="B22" s="36" t="s">
        <v>77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>
        <f t="shared" ref="O22:AH22" si="68">AVERAGE(O10:O14,O17:O20)</f>
        <v>249.33069904170102</v>
      </c>
      <c r="P22" s="38">
        <f t="shared" si="68"/>
        <v>318.66388210168702</v>
      </c>
      <c r="Q22" s="38">
        <f t="shared" si="68"/>
        <v>344.01087607954844</v>
      </c>
      <c r="R22" s="38">
        <f t="shared" si="68"/>
        <v>400.97935434897568</v>
      </c>
      <c r="S22" s="37">
        <f t="shared" si="68"/>
        <v>375.89670569071473</v>
      </c>
      <c r="T22" s="38">
        <f t="shared" si="68"/>
        <v>377.27366578390706</v>
      </c>
      <c r="U22" s="38">
        <f t="shared" si="68"/>
        <v>419.34601085249187</v>
      </c>
      <c r="V22" s="38">
        <f t="shared" si="68"/>
        <v>509.11833066577469</v>
      </c>
      <c r="W22" s="37">
        <f t="shared" si="68"/>
        <v>486.97968954236023</v>
      </c>
      <c r="X22" s="38">
        <f t="shared" si="68"/>
        <v>560.31236015857712</v>
      </c>
      <c r="Y22" s="38">
        <f t="shared" si="68"/>
        <v>650.39125227758529</v>
      </c>
      <c r="Z22" s="38">
        <f t="shared" si="68"/>
        <v>702.25797304288926</v>
      </c>
      <c r="AA22" s="37">
        <f t="shared" si="68"/>
        <v>414.80747969677196</v>
      </c>
      <c r="AB22" s="38">
        <f t="shared" si="68"/>
        <v>389.41526191506665</v>
      </c>
      <c r="AC22" s="38">
        <f t="shared" si="68"/>
        <v>421.37470310098161</v>
      </c>
      <c r="AD22" s="38">
        <f t="shared" si="68"/>
        <v>338.98081847843355</v>
      </c>
      <c r="AE22" s="37">
        <f t="shared" si="68"/>
        <v>311.95964726532333</v>
      </c>
      <c r="AF22" s="38">
        <f t="shared" si="68"/>
        <v>236.07642118469178</v>
      </c>
      <c r="AG22" s="38">
        <f t="shared" si="68"/>
        <v>225.74610993236715</v>
      </c>
      <c r="AH22" s="38">
        <f t="shared" si="68"/>
        <v>287.65697701789827</v>
      </c>
      <c r="AI22" s="37">
        <f>AVERAGE(AI10:AI14,AI17:AI20)</f>
        <v>255.43352527430949</v>
      </c>
      <c r="AJ22" s="38">
        <f t="shared" ref="AJ22:BE22" si="69">AVERAGE(AJ10:AJ14,AJ17:AJ20)</f>
        <v>252.66877395128552</v>
      </c>
      <c r="AK22" s="38">
        <f t="shared" si="69"/>
        <v>295.06587407833541</v>
      </c>
      <c r="AL22" s="38">
        <f t="shared" si="69"/>
        <v>368.24854731271193</v>
      </c>
      <c r="AM22" s="37">
        <f t="shared" si="69"/>
        <v>297.99031156502338</v>
      </c>
      <c r="AN22" s="38">
        <f t="shared" si="69"/>
        <v>394.08517737410898</v>
      </c>
      <c r="AO22" s="38">
        <f t="shared" si="69"/>
        <v>301.98533903561906</v>
      </c>
      <c r="AP22" s="38">
        <f t="shared" si="69"/>
        <v>300.68196429704449</v>
      </c>
      <c r="AQ22" s="37">
        <f t="shared" si="69"/>
        <v>246.2776135512751</v>
      </c>
      <c r="AR22" s="38">
        <f t="shared" si="69"/>
        <v>273.09362631354122</v>
      </c>
      <c r="AS22" s="38">
        <f t="shared" si="69"/>
        <v>290.72277777330356</v>
      </c>
      <c r="AT22" s="38">
        <f t="shared" si="69"/>
        <v>335.14403610651226</v>
      </c>
      <c r="AU22" s="37">
        <f t="shared" si="69"/>
        <v>227.55899811921421</v>
      </c>
      <c r="AV22" s="38">
        <f t="shared" si="69"/>
        <v>262.6806614540248</v>
      </c>
      <c r="AW22" s="38">
        <f t="shared" si="69"/>
        <v>241.56978138726907</v>
      </c>
      <c r="AX22" s="38">
        <f t="shared" si="69"/>
        <v>339.58524755923463</v>
      </c>
      <c r="AY22" s="37">
        <f t="shared" si="69"/>
        <v>297.65802605867714</v>
      </c>
      <c r="AZ22" s="38">
        <f t="shared" si="69"/>
        <v>290.44220206421295</v>
      </c>
      <c r="BA22" s="39">
        <f t="shared" si="69"/>
        <v>320.5109557536158</v>
      </c>
      <c r="BB22" s="38">
        <f t="shared" si="69"/>
        <v>368.67237744436937</v>
      </c>
      <c r="BC22" s="37">
        <f t="shared" si="69"/>
        <v>397.82626855775345</v>
      </c>
      <c r="BD22" s="38">
        <f t="shared" si="69"/>
        <v>352.41227238182591</v>
      </c>
      <c r="BE22" s="39">
        <f t="shared" si="69"/>
        <v>378.33352411842139</v>
      </c>
      <c r="BF22" s="38"/>
      <c r="BG22" s="37"/>
      <c r="BH22" s="38"/>
      <c r="BI22" s="38"/>
      <c r="BJ22" s="38"/>
      <c r="BK22" s="23"/>
      <c r="BL22" s="42">
        <f t="shared" si="44"/>
        <v>1294.7427922717959</v>
      </c>
      <c r="BM22" s="38">
        <f t="shared" si="45"/>
        <v>1145.238053744632</v>
      </c>
      <c r="BN22" s="38">
        <f t="shared" si="46"/>
        <v>1071.3946885197427</v>
      </c>
      <c r="BO22" s="38">
        <f t="shared" si="47"/>
        <v>1277.2835613208752</v>
      </c>
      <c r="BP22" s="38">
        <f t="shared" si="48"/>
        <v>1128.5720650580008</v>
      </c>
      <c r="BQ22" s="23"/>
      <c r="BR22" s="38">
        <f t="shared" si="49"/>
        <v>1248.1964314357406</v>
      </c>
      <c r="BS22" s="43">
        <f t="shared" si="50"/>
        <v>1497.24444250237</v>
      </c>
      <c r="BT22" s="44">
        <f t="shared" si="51"/>
        <v>323.68569806794898</v>
      </c>
      <c r="BU22" s="44">
        <f t="shared" si="52"/>
        <v>286.309513436158</v>
      </c>
      <c r="BV22" s="44">
        <f t="shared" si="53"/>
        <v>267.84867212993566</v>
      </c>
      <c r="BW22" s="44">
        <f t="shared" si="54"/>
        <v>319.32089033021879</v>
      </c>
      <c r="BX22" s="44">
        <f t="shared" si="55"/>
        <v>376.19068835266694</v>
      </c>
      <c r="BY22" s="45">
        <f t="shared" si="56"/>
        <v>305.01428897333039</v>
      </c>
      <c r="BZ22" s="33"/>
      <c r="CA22" s="46">
        <f t="shared" si="57"/>
        <v>7.3553771443324534E-2</v>
      </c>
      <c r="CB22" s="46">
        <f t="shared" si="58"/>
        <v>0.18040746291760201</v>
      </c>
      <c r="CC22" s="46">
        <f t="shared" si="59"/>
        <v>0.24037967333229382</v>
      </c>
      <c r="CD22" s="46">
        <f t="shared" si="60"/>
        <v>0.19952629633795826</v>
      </c>
      <c r="CE22" s="33"/>
      <c r="CF22" s="46">
        <f t="shared" si="61"/>
        <v>0.23335431142886565</v>
      </c>
      <c r="CG22" s="33"/>
      <c r="CH22" s="46">
        <f t="shared" si="62"/>
        <v>-0.11547060884952931</v>
      </c>
      <c r="CI22" s="46">
        <f t="shared" si="62"/>
        <v>-6.4478616461826954E-2</v>
      </c>
      <c r="CJ22" s="46">
        <f t="shared" si="62"/>
        <v>0.19216902511024392</v>
      </c>
      <c r="CK22" s="46">
        <f t="shared" si="62"/>
        <v>-0.11642794189654138</v>
      </c>
    </row>
    <row r="23" spans="2:89" s="8" customFormat="1" hidden="1" outlineLevel="1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22"/>
      <c r="P23" s="23"/>
      <c r="Q23" s="23"/>
      <c r="R23" s="23"/>
      <c r="S23" s="22"/>
      <c r="T23" s="23"/>
      <c r="U23" s="23"/>
      <c r="V23" s="23"/>
      <c r="W23" s="22"/>
      <c r="X23" s="23"/>
      <c r="Y23" s="23"/>
      <c r="Z23" s="23"/>
      <c r="AA23" s="22"/>
      <c r="AB23" s="23"/>
      <c r="AC23" s="23"/>
      <c r="AD23" s="23"/>
      <c r="AE23" s="22"/>
      <c r="AF23" s="23"/>
      <c r="AG23" s="23"/>
      <c r="AH23" s="23"/>
      <c r="AI23" s="22"/>
      <c r="AJ23" s="23"/>
      <c r="AK23" s="23"/>
      <c r="AL23" s="23"/>
      <c r="AM23" s="22"/>
      <c r="AN23" s="23"/>
      <c r="AO23" s="23"/>
      <c r="AP23" s="23"/>
      <c r="AQ23" s="22"/>
      <c r="AR23" s="23"/>
      <c r="AS23" s="23"/>
      <c r="AT23" s="23"/>
      <c r="AU23" s="22"/>
      <c r="AV23" s="23"/>
      <c r="AW23" s="23"/>
      <c r="AX23" s="23"/>
      <c r="AY23" s="22"/>
      <c r="AZ23" s="23"/>
      <c r="BA23" s="26"/>
      <c r="BB23" s="23"/>
      <c r="BC23" s="22"/>
      <c r="BD23" s="23"/>
      <c r="BE23" s="23"/>
      <c r="BF23" s="23"/>
      <c r="BG23" s="22"/>
      <c r="BH23" s="23"/>
      <c r="BI23" s="23"/>
      <c r="BJ23" s="23"/>
      <c r="BK23" s="23"/>
      <c r="BL23" s="29"/>
      <c r="BM23" s="23"/>
      <c r="BN23" s="23"/>
      <c r="BO23" s="23"/>
      <c r="BP23" s="23"/>
      <c r="BQ23" s="23"/>
      <c r="BR23" s="23"/>
      <c r="BS23" s="30"/>
      <c r="BT23" s="31"/>
      <c r="BU23" s="31"/>
      <c r="BV23" s="31"/>
      <c r="BW23" s="31"/>
      <c r="BX23" s="31"/>
      <c r="BY23" s="32"/>
      <c r="BZ23" s="33"/>
      <c r="CA23" s="46"/>
      <c r="CB23" s="46"/>
      <c r="CC23" s="46"/>
      <c r="CD23" s="46"/>
      <c r="CE23" s="33"/>
      <c r="CF23" s="34"/>
      <c r="CG23" s="33"/>
      <c r="CH23" s="46"/>
      <c r="CI23" s="46"/>
      <c r="CJ23" s="46"/>
      <c r="CK23" s="46"/>
    </row>
    <row r="24" spans="2:89" collapsed="1">
      <c r="B24" s="14" t="s">
        <v>78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8"/>
      <c r="P24" s="49"/>
      <c r="Q24" s="49"/>
      <c r="R24" s="49"/>
      <c r="S24" s="48"/>
      <c r="T24" s="49"/>
      <c r="U24" s="49"/>
      <c r="V24" s="49"/>
      <c r="W24" s="48"/>
      <c r="X24" s="49"/>
      <c r="Y24" s="49"/>
      <c r="Z24" s="49"/>
      <c r="AA24" s="48"/>
      <c r="AB24" s="49"/>
      <c r="AC24" s="49"/>
      <c r="AD24" s="49"/>
      <c r="AE24" s="48"/>
      <c r="AF24" s="49"/>
      <c r="AG24" s="49"/>
      <c r="AH24" s="49"/>
      <c r="AI24" s="48"/>
      <c r="AJ24" s="49"/>
      <c r="AK24" s="49"/>
      <c r="AL24" s="49"/>
      <c r="AM24" s="48"/>
      <c r="AN24" s="49"/>
      <c r="AO24" s="49"/>
      <c r="AP24" s="49"/>
      <c r="AQ24" s="48"/>
      <c r="AR24" s="49"/>
      <c r="AS24" s="49"/>
      <c r="AT24" s="49"/>
      <c r="AU24" s="48"/>
      <c r="AV24" s="49"/>
      <c r="AW24" s="49"/>
      <c r="AX24" s="49"/>
      <c r="AY24" s="48"/>
      <c r="AZ24" s="49"/>
      <c r="BA24" s="50"/>
      <c r="BB24" s="49"/>
      <c r="BC24" s="48"/>
      <c r="BD24" s="49"/>
      <c r="BE24" s="49"/>
      <c r="BF24" s="49"/>
      <c r="BG24" s="48"/>
      <c r="BH24" s="49"/>
      <c r="BI24" s="49"/>
      <c r="BJ24" s="49"/>
      <c r="BK24" s="49"/>
      <c r="BL24" s="51"/>
      <c r="BM24" s="49"/>
      <c r="BN24" s="49"/>
      <c r="BO24" s="49"/>
      <c r="BP24" s="49"/>
      <c r="BQ24" s="49"/>
      <c r="BR24" s="49"/>
      <c r="BS24" s="52"/>
      <c r="BT24" s="53"/>
      <c r="BU24" s="53"/>
      <c r="BV24" s="53"/>
      <c r="BW24" s="53"/>
      <c r="BX24" s="53"/>
      <c r="BY24" s="54"/>
      <c r="BZ24" s="55"/>
      <c r="CA24" s="53"/>
      <c r="CB24" s="53"/>
      <c r="CC24" s="53"/>
      <c r="CD24" s="53"/>
      <c r="CE24" s="55"/>
      <c r="CF24" s="53"/>
      <c r="CG24" s="55"/>
      <c r="CH24" s="53"/>
      <c r="CI24" s="53"/>
      <c r="CJ24" s="53"/>
      <c r="CK24" s="53"/>
    </row>
    <row r="25" spans="2:89" s="8" customFormat="1">
      <c r="B25" s="8" t="s">
        <v>66</v>
      </c>
      <c r="C25" s="76">
        <f>SUM(O25:R25)</f>
        <v>704</v>
      </c>
      <c r="D25" s="76">
        <f>SUM(S25:V25)</f>
        <v>1365</v>
      </c>
      <c r="E25" s="76">
        <f>SUM(W25:Z25)</f>
        <v>1382</v>
      </c>
      <c r="F25" s="76">
        <f>SUM(AA25:AD25)</f>
        <v>1353</v>
      </c>
      <c r="G25" s="76">
        <f>SUM(AE25:AH25)</f>
        <v>1518</v>
      </c>
      <c r="H25" s="76">
        <f>SUM(AI25:AL25)</f>
        <v>1462</v>
      </c>
      <c r="I25" s="76">
        <f>SUM(AM25:AP25)</f>
        <v>1085</v>
      </c>
      <c r="J25" s="76">
        <f>SUM(AQ25:AT25)</f>
        <v>987</v>
      </c>
      <c r="K25" s="76">
        <f>SUM(AU25:AX25)</f>
        <v>1659</v>
      </c>
      <c r="L25" s="76">
        <f>SUM(AY25:BB25)</f>
        <v>1750</v>
      </c>
      <c r="M25" s="76">
        <f>SUM(BC25:BE25)</f>
        <v>1318</v>
      </c>
      <c r="O25" s="22">
        <v>186</v>
      </c>
      <c r="P25" s="23">
        <v>114</v>
      </c>
      <c r="Q25" s="23">
        <v>199</v>
      </c>
      <c r="R25" s="23">
        <v>205</v>
      </c>
      <c r="S25" s="22">
        <v>283</v>
      </c>
      <c r="T25" s="23">
        <v>482</v>
      </c>
      <c r="U25" s="23">
        <v>270</v>
      </c>
      <c r="V25" s="23">
        <v>330</v>
      </c>
      <c r="W25" s="22">
        <v>266</v>
      </c>
      <c r="X25" s="23">
        <v>358</v>
      </c>
      <c r="Y25" s="23">
        <v>355</v>
      </c>
      <c r="Z25" s="23">
        <v>403</v>
      </c>
      <c r="AA25" s="22">
        <v>172</v>
      </c>
      <c r="AB25" s="23">
        <v>616</v>
      </c>
      <c r="AC25" s="23">
        <v>292</v>
      </c>
      <c r="AD25" s="23">
        <v>273</v>
      </c>
      <c r="AE25" s="22">
        <v>48</v>
      </c>
      <c r="AF25" s="23">
        <v>736</v>
      </c>
      <c r="AG25" s="23">
        <v>363</v>
      </c>
      <c r="AH25" s="23">
        <v>371</v>
      </c>
      <c r="AI25" s="22">
        <v>372</v>
      </c>
      <c r="AJ25" s="23">
        <v>225</v>
      </c>
      <c r="AK25" s="23">
        <v>310</v>
      </c>
      <c r="AL25" s="23">
        <v>555</v>
      </c>
      <c r="AM25" s="22">
        <v>426</v>
      </c>
      <c r="AN25" s="23">
        <v>378</v>
      </c>
      <c r="AO25" s="23">
        <v>90</v>
      </c>
      <c r="AP25" s="23">
        <v>191</v>
      </c>
      <c r="AQ25" s="22">
        <v>255</v>
      </c>
      <c r="AR25" s="23">
        <v>239</v>
      </c>
      <c r="AS25" s="23">
        <v>189</v>
      </c>
      <c r="AT25" s="23">
        <v>304</v>
      </c>
      <c r="AU25" s="22">
        <v>390</v>
      </c>
      <c r="AV25" s="24">
        <v>371</v>
      </c>
      <c r="AW25" s="24">
        <v>276</v>
      </c>
      <c r="AX25" s="24">
        <v>622</v>
      </c>
      <c r="AY25" s="25">
        <v>437</v>
      </c>
      <c r="AZ25" s="24">
        <v>545</v>
      </c>
      <c r="BA25" s="26">
        <v>426</v>
      </c>
      <c r="BB25" s="26">
        <v>342</v>
      </c>
      <c r="BC25" s="25">
        <v>533</v>
      </c>
      <c r="BD25" s="24">
        <v>595</v>
      </c>
      <c r="BE25" s="24">
        <v>190</v>
      </c>
      <c r="BF25" s="27"/>
      <c r="BG25" s="28"/>
      <c r="BH25" s="27"/>
      <c r="BI25" s="27"/>
      <c r="BJ25" s="27"/>
      <c r="BK25" s="23"/>
      <c r="BL25" s="29">
        <f t="shared" ref="BL25:BL30" si="70">SUM(AM25:AP25)</f>
        <v>1085</v>
      </c>
      <c r="BM25" s="23">
        <f t="shared" ref="BM25:BM30" si="71">SUM(AQ25:AT25)</f>
        <v>987</v>
      </c>
      <c r="BN25" s="23">
        <f t="shared" ref="BN25:BN30" si="72">SUM(AU25:AX25)</f>
        <v>1659</v>
      </c>
      <c r="BO25" s="23">
        <f t="shared" ref="BO25:BO30" si="73">SUM(AY25:BB25)</f>
        <v>1750</v>
      </c>
      <c r="BP25" s="23">
        <f t="shared" ref="BP25:BP30" si="74">SUM(BC25:BF25)</f>
        <v>1318</v>
      </c>
      <c r="BQ25" s="23"/>
      <c r="BR25" s="23">
        <f t="shared" ref="BR25:BR30" si="75">SUM(AX25:BA25)</f>
        <v>2030</v>
      </c>
      <c r="BS25" s="30">
        <f t="shared" ref="BS25:BS30" si="76">SUM(BB25:BE25)</f>
        <v>1660</v>
      </c>
      <c r="BT25" s="31">
        <f t="shared" ref="BT25:BT30" si="77">AVERAGE(AM25:AP25)</f>
        <v>271.25</v>
      </c>
      <c r="BU25" s="31">
        <f t="shared" ref="BU25:BU30" si="78">AVERAGE(AQ25:AT25)</f>
        <v>246.75</v>
      </c>
      <c r="BV25" s="31">
        <f t="shared" ref="BV25:BV30" si="79">AVERAGE(AU25:AX25)</f>
        <v>414.75</v>
      </c>
      <c r="BW25" s="31">
        <f t="shared" ref="BW25:BW30" si="80">AVERAGE(AY25:BB25)</f>
        <v>437.5</v>
      </c>
      <c r="BX25" s="31">
        <f t="shared" ref="BX25:BX30" si="81">AVERAGE(BC25:BF25)</f>
        <v>439.33333333333331</v>
      </c>
      <c r="BY25" s="32">
        <f t="shared" ref="BY25:BY30" si="82">AVERAGE(AI25:BD25)</f>
        <v>366.86363636363637</v>
      </c>
      <c r="BZ25" s="33"/>
      <c r="CA25" s="34">
        <f t="shared" ref="CA25:CA30" si="83">BE25/BD25-1</f>
        <v>-0.68067226890756305</v>
      </c>
      <c r="CB25" s="34">
        <f t="shared" ref="CB25:CB30" si="84">BE25/BA25-1</f>
        <v>-0.5539906103286385</v>
      </c>
      <c r="CC25" s="34">
        <f t="shared" ref="CC25:CC30" si="85">BE25/BY25-1</f>
        <v>-0.48209639449882291</v>
      </c>
      <c r="CD25" s="34">
        <f t="shared" ref="CD25:CD30" si="86">BS25/BR25-1</f>
        <v>-0.18226600985221675</v>
      </c>
      <c r="CE25" s="33"/>
      <c r="CF25" s="34">
        <f t="shared" ref="CF25:CF30" si="87">BX25/BY25-1</f>
        <v>0.19753851236938824</v>
      </c>
      <c r="CG25" s="33"/>
      <c r="CH25" s="34">
        <f t="shared" ref="CH25:CK30" si="88">BM25/BL25-1</f>
        <v>-9.0322580645161299E-2</v>
      </c>
      <c r="CI25" s="34">
        <f t="shared" si="88"/>
        <v>0.68085106382978733</v>
      </c>
      <c r="CJ25" s="34">
        <f t="shared" si="88"/>
        <v>5.4852320675105481E-2</v>
      </c>
      <c r="CK25" s="34">
        <f t="shared" si="88"/>
        <v>-0.24685714285714289</v>
      </c>
    </row>
    <row r="26" spans="2:89" s="8" customFormat="1">
      <c r="B26" s="8" t="s">
        <v>67</v>
      </c>
      <c r="C26" s="76">
        <f t="shared" ref="C26:C29" si="89">SUM(O26:R26)</f>
        <v>905</v>
      </c>
      <c r="D26" s="76">
        <f t="shared" ref="D26:D29" si="90">SUM(S26:V26)</f>
        <v>1059</v>
      </c>
      <c r="E26" s="76">
        <f t="shared" ref="E26:E29" si="91">SUM(W26:Z26)</f>
        <v>1570</v>
      </c>
      <c r="F26" s="76">
        <f t="shared" ref="F26:F29" si="92">SUM(AA26:AD26)</f>
        <v>980</v>
      </c>
      <c r="G26" s="76">
        <f t="shared" ref="G26:G29" si="93">SUM(AE26:AH26)</f>
        <v>1394</v>
      </c>
      <c r="H26" s="76">
        <f t="shared" ref="H26:H29" si="94">SUM(AI26:AL26)</f>
        <v>1454</v>
      </c>
      <c r="I26" s="76">
        <f t="shared" ref="I26:I29" si="95">SUM(AM26:AP26)</f>
        <v>1132</v>
      </c>
      <c r="J26" s="76">
        <f t="shared" ref="J26:J29" si="96">SUM(AQ26:AT26)</f>
        <v>892</v>
      </c>
      <c r="K26" s="76">
        <f t="shared" ref="K26:K29" si="97">SUM(AU26:AX26)</f>
        <v>1262</v>
      </c>
      <c r="L26" s="76">
        <f t="shared" ref="L26:L29" si="98">SUM(AY26:BB26)</f>
        <v>1613</v>
      </c>
      <c r="M26" s="76">
        <f t="shared" ref="M26:M29" si="99">SUM(BC26:BE26)</f>
        <v>1046</v>
      </c>
      <c r="O26" s="22">
        <v>202</v>
      </c>
      <c r="P26" s="23">
        <v>145</v>
      </c>
      <c r="Q26" s="23">
        <v>200</v>
      </c>
      <c r="R26" s="23">
        <v>358</v>
      </c>
      <c r="S26" s="22">
        <v>197</v>
      </c>
      <c r="T26" s="23">
        <v>371</v>
      </c>
      <c r="U26" s="23">
        <v>237</v>
      </c>
      <c r="V26" s="23">
        <v>254</v>
      </c>
      <c r="W26" s="22">
        <v>300</v>
      </c>
      <c r="X26" s="23">
        <v>493</v>
      </c>
      <c r="Y26" s="23">
        <v>429</v>
      </c>
      <c r="Z26" s="23">
        <v>348</v>
      </c>
      <c r="AA26" s="22">
        <v>191</v>
      </c>
      <c r="AB26" s="23">
        <v>460</v>
      </c>
      <c r="AC26" s="23">
        <v>193</v>
      </c>
      <c r="AD26" s="23">
        <v>136</v>
      </c>
      <c r="AE26" s="22">
        <v>155</v>
      </c>
      <c r="AF26" s="23">
        <v>455</v>
      </c>
      <c r="AG26" s="23">
        <v>457</v>
      </c>
      <c r="AH26" s="23">
        <v>327</v>
      </c>
      <c r="AI26" s="22">
        <v>264</v>
      </c>
      <c r="AJ26" s="23">
        <v>269</v>
      </c>
      <c r="AK26" s="23">
        <v>260</v>
      </c>
      <c r="AL26" s="23">
        <v>661</v>
      </c>
      <c r="AM26" s="22">
        <v>285</v>
      </c>
      <c r="AN26" s="23">
        <v>419</v>
      </c>
      <c r="AO26" s="23">
        <v>239</v>
      </c>
      <c r="AP26" s="23">
        <v>189</v>
      </c>
      <c r="AQ26" s="22">
        <v>172</v>
      </c>
      <c r="AR26" s="23">
        <v>283</v>
      </c>
      <c r="AS26" s="23">
        <v>199</v>
      </c>
      <c r="AT26" s="24">
        <v>238</v>
      </c>
      <c r="AU26" s="25">
        <v>283</v>
      </c>
      <c r="AV26" s="24">
        <v>327</v>
      </c>
      <c r="AW26" s="24">
        <v>236</v>
      </c>
      <c r="AX26" s="24">
        <v>416</v>
      </c>
      <c r="AY26" s="25">
        <v>315</v>
      </c>
      <c r="AZ26" s="24">
        <v>489</v>
      </c>
      <c r="BA26" s="24">
        <v>464</v>
      </c>
      <c r="BB26" s="24">
        <v>345</v>
      </c>
      <c r="BC26" s="25">
        <v>307</v>
      </c>
      <c r="BD26" s="24">
        <v>489</v>
      </c>
      <c r="BE26" s="24">
        <v>250</v>
      </c>
      <c r="BF26" s="27"/>
      <c r="BG26" s="28"/>
      <c r="BH26" s="27"/>
      <c r="BI26" s="27"/>
      <c r="BJ26" s="27"/>
      <c r="BK26" s="24"/>
      <c r="BL26" s="29">
        <f t="shared" si="70"/>
        <v>1132</v>
      </c>
      <c r="BM26" s="23">
        <f t="shared" si="71"/>
        <v>892</v>
      </c>
      <c r="BN26" s="23">
        <f t="shared" si="72"/>
        <v>1262</v>
      </c>
      <c r="BO26" s="23">
        <f t="shared" si="73"/>
        <v>1613</v>
      </c>
      <c r="BP26" s="23">
        <f t="shared" si="74"/>
        <v>1046</v>
      </c>
      <c r="BQ26" s="23"/>
      <c r="BR26" s="23">
        <f t="shared" si="75"/>
        <v>1684</v>
      </c>
      <c r="BS26" s="30">
        <f t="shared" si="76"/>
        <v>1391</v>
      </c>
      <c r="BT26" s="31">
        <f t="shared" si="77"/>
        <v>283</v>
      </c>
      <c r="BU26" s="31">
        <f t="shared" si="78"/>
        <v>223</v>
      </c>
      <c r="BV26" s="31">
        <f t="shared" si="79"/>
        <v>315.5</v>
      </c>
      <c r="BW26" s="31">
        <f t="shared" si="80"/>
        <v>403.25</v>
      </c>
      <c r="BX26" s="31">
        <f t="shared" si="81"/>
        <v>348.66666666666669</v>
      </c>
      <c r="BY26" s="32">
        <f t="shared" si="82"/>
        <v>324.95454545454544</v>
      </c>
      <c r="BZ26" s="33"/>
      <c r="CA26" s="34">
        <f t="shared" si="83"/>
        <v>-0.4887525562372188</v>
      </c>
      <c r="CB26" s="34">
        <f t="shared" si="84"/>
        <v>-0.46120689655172409</v>
      </c>
      <c r="CC26" s="34">
        <f t="shared" si="85"/>
        <v>-0.23066163099734227</v>
      </c>
      <c r="CD26" s="34">
        <f t="shared" si="86"/>
        <v>-0.17399049881235151</v>
      </c>
      <c r="CE26" s="33"/>
      <c r="CF26" s="34">
        <f t="shared" si="87"/>
        <v>7.2970578635706662E-2</v>
      </c>
      <c r="CG26" s="33"/>
      <c r="CH26" s="34">
        <f t="shared" si="88"/>
        <v>-0.21201413427561833</v>
      </c>
      <c r="CI26" s="34">
        <f t="shared" si="88"/>
        <v>0.41479820627802688</v>
      </c>
      <c r="CJ26" s="34">
        <f t="shared" si="88"/>
        <v>0.27812995245641847</v>
      </c>
      <c r="CK26" s="34">
        <f t="shared" si="88"/>
        <v>-0.3515189088654681</v>
      </c>
    </row>
    <row r="27" spans="2:89" s="8" customFormat="1">
      <c r="B27" s="8" t="s">
        <v>68</v>
      </c>
      <c r="C27" s="76">
        <f t="shared" si="89"/>
        <v>1163</v>
      </c>
      <c r="D27" s="76">
        <f t="shared" si="90"/>
        <v>1536</v>
      </c>
      <c r="E27" s="76">
        <f t="shared" si="91"/>
        <v>1948</v>
      </c>
      <c r="F27" s="76">
        <f t="shared" si="92"/>
        <v>1375</v>
      </c>
      <c r="G27" s="76">
        <f t="shared" si="93"/>
        <v>1424</v>
      </c>
      <c r="H27" s="76">
        <f t="shared" si="94"/>
        <v>1329</v>
      </c>
      <c r="I27" s="76">
        <f t="shared" si="95"/>
        <v>1453</v>
      </c>
      <c r="J27" s="76">
        <f t="shared" si="96"/>
        <v>1026</v>
      </c>
      <c r="K27" s="76">
        <f t="shared" si="97"/>
        <v>1472</v>
      </c>
      <c r="L27" s="76">
        <f t="shared" si="98"/>
        <v>1490</v>
      </c>
      <c r="M27" s="76">
        <f t="shared" si="99"/>
        <v>950</v>
      </c>
      <c r="O27" s="22">
        <v>218</v>
      </c>
      <c r="P27" s="23">
        <v>280</v>
      </c>
      <c r="Q27" s="23">
        <v>313</v>
      </c>
      <c r="R27" s="23">
        <v>352</v>
      </c>
      <c r="S27" s="22">
        <v>303</v>
      </c>
      <c r="T27" s="23">
        <v>429</v>
      </c>
      <c r="U27" s="23">
        <v>245</v>
      </c>
      <c r="V27" s="23">
        <v>559</v>
      </c>
      <c r="W27" s="22">
        <v>433</v>
      </c>
      <c r="X27" s="23">
        <v>647</v>
      </c>
      <c r="Y27" s="23">
        <v>405</v>
      </c>
      <c r="Z27" s="23">
        <v>463</v>
      </c>
      <c r="AA27" s="22">
        <v>439</v>
      </c>
      <c r="AB27" s="23">
        <v>448</v>
      </c>
      <c r="AC27" s="23">
        <v>264</v>
      </c>
      <c r="AD27" s="23">
        <v>224</v>
      </c>
      <c r="AE27" s="22">
        <v>157</v>
      </c>
      <c r="AF27" s="23">
        <v>508</v>
      </c>
      <c r="AG27" s="23">
        <v>403</v>
      </c>
      <c r="AH27" s="23">
        <v>356</v>
      </c>
      <c r="AI27" s="22">
        <v>314</v>
      </c>
      <c r="AJ27" s="23">
        <v>286</v>
      </c>
      <c r="AK27" s="23">
        <v>290</v>
      </c>
      <c r="AL27" s="23">
        <v>439</v>
      </c>
      <c r="AM27" s="22">
        <v>448</v>
      </c>
      <c r="AN27" s="23">
        <v>422</v>
      </c>
      <c r="AO27" s="23">
        <v>316</v>
      </c>
      <c r="AP27" s="23">
        <v>267</v>
      </c>
      <c r="AQ27" s="22">
        <v>305</v>
      </c>
      <c r="AR27" s="23">
        <v>192</v>
      </c>
      <c r="AS27" s="23">
        <v>279</v>
      </c>
      <c r="AT27" s="23">
        <v>250</v>
      </c>
      <c r="AU27" s="22">
        <v>323</v>
      </c>
      <c r="AV27" s="24">
        <v>356</v>
      </c>
      <c r="AW27" s="24">
        <v>329</v>
      </c>
      <c r="AX27" s="24">
        <v>464</v>
      </c>
      <c r="AY27" s="25">
        <v>313</v>
      </c>
      <c r="AZ27" s="24">
        <v>514</v>
      </c>
      <c r="BA27" s="26">
        <v>315</v>
      </c>
      <c r="BB27" s="26">
        <v>348</v>
      </c>
      <c r="BC27" s="25">
        <v>345</v>
      </c>
      <c r="BD27" s="24">
        <v>417</v>
      </c>
      <c r="BE27" s="24">
        <v>188</v>
      </c>
      <c r="BF27" s="27"/>
      <c r="BG27" s="28"/>
      <c r="BH27" s="27"/>
      <c r="BI27" s="27"/>
      <c r="BJ27" s="27"/>
      <c r="BK27" s="23"/>
      <c r="BL27" s="29">
        <f t="shared" si="70"/>
        <v>1453</v>
      </c>
      <c r="BM27" s="23">
        <f t="shared" si="71"/>
        <v>1026</v>
      </c>
      <c r="BN27" s="23">
        <f t="shared" si="72"/>
        <v>1472</v>
      </c>
      <c r="BO27" s="23">
        <f t="shared" si="73"/>
        <v>1490</v>
      </c>
      <c r="BP27" s="23">
        <f t="shared" si="74"/>
        <v>950</v>
      </c>
      <c r="BQ27" s="23"/>
      <c r="BR27" s="23">
        <f t="shared" si="75"/>
        <v>1606</v>
      </c>
      <c r="BS27" s="30">
        <f t="shared" si="76"/>
        <v>1298</v>
      </c>
      <c r="BT27" s="31">
        <f t="shared" si="77"/>
        <v>363.25</v>
      </c>
      <c r="BU27" s="31">
        <f t="shared" si="78"/>
        <v>256.5</v>
      </c>
      <c r="BV27" s="31">
        <f t="shared" si="79"/>
        <v>368</v>
      </c>
      <c r="BW27" s="31">
        <f t="shared" si="80"/>
        <v>372.5</v>
      </c>
      <c r="BX27" s="31">
        <f t="shared" si="81"/>
        <v>316.66666666666669</v>
      </c>
      <c r="BY27" s="32">
        <f t="shared" si="82"/>
        <v>342.36363636363637</v>
      </c>
      <c r="BZ27" s="33"/>
      <c r="CA27" s="34">
        <f t="shared" si="83"/>
        <v>-0.54916067146282976</v>
      </c>
      <c r="CB27" s="34">
        <f t="shared" si="84"/>
        <v>-0.40317460317460319</v>
      </c>
      <c r="CC27" s="34">
        <f t="shared" si="85"/>
        <v>-0.45087626128518321</v>
      </c>
      <c r="CD27" s="34">
        <f t="shared" si="86"/>
        <v>-0.19178082191780821</v>
      </c>
      <c r="CE27" s="33"/>
      <c r="CF27" s="34">
        <f t="shared" si="87"/>
        <v>-7.5057532306602948E-2</v>
      </c>
      <c r="CG27" s="33"/>
      <c r="CH27" s="34">
        <f t="shared" si="88"/>
        <v>-0.29387474191328289</v>
      </c>
      <c r="CI27" s="34">
        <f t="shared" si="88"/>
        <v>0.43469785575048725</v>
      </c>
      <c r="CJ27" s="34">
        <f t="shared" si="88"/>
        <v>1.2228260869565188E-2</v>
      </c>
      <c r="CK27" s="34">
        <f t="shared" si="88"/>
        <v>-0.36241610738255037</v>
      </c>
    </row>
    <row r="28" spans="2:89" s="8" customFormat="1">
      <c r="B28" s="8" t="s">
        <v>69</v>
      </c>
      <c r="C28" s="76">
        <f t="shared" si="89"/>
        <v>1136</v>
      </c>
      <c r="D28" s="76">
        <f t="shared" si="90"/>
        <v>1237</v>
      </c>
      <c r="E28" s="76">
        <f t="shared" si="91"/>
        <v>1912</v>
      </c>
      <c r="F28" s="76">
        <f t="shared" si="92"/>
        <v>668</v>
      </c>
      <c r="G28" s="76">
        <f t="shared" si="93"/>
        <v>946</v>
      </c>
      <c r="H28" s="76">
        <f t="shared" si="94"/>
        <v>937</v>
      </c>
      <c r="I28" s="76">
        <f t="shared" si="95"/>
        <v>672</v>
      </c>
      <c r="J28" s="76">
        <f t="shared" si="96"/>
        <v>629</v>
      </c>
      <c r="K28" s="76">
        <f t="shared" si="97"/>
        <v>1034</v>
      </c>
      <c r="L28" s="76">
        <f t="shared" si="98"/>
        <v>1246</v>
      </c>
      <c r="M28" s="76">
        <f t="shared" si="99"/>
        <v>696</v>
      </c>
      <c r="O28" s="22">
        <v>269</v>
      </c>
      <c r="P28" s="23">
        <v>254</v>
      </c>
      <c r="Q28" s="23">
        <v>298</v>
      </c>
      <c r="R28" s="23">
        <v>315</v>
      </c>
      <c r="S28" s="22">
        <v>286</v>
      </c>
      <c r="T28" s="23">
        <v>284</v>
      </c>
      <c r="U28" s="23">
        <v>204</v>
      </c>
      <c r="V28" s="23">
        <v>463</v>
      </c>
      <c r="W28" s="22">
        <v>523</v>
      </c>
      <c r="X28" s="23">
        <v>539</v>
      </c>
      <c r="Y28" s="23">
        <v>389</v>
      </c>
      <c r="Z28" s="23">
        <v>461</v>
      </c>
      <c r="AA28" s="22">
        <v>158</v>
      </c>
      <c r="AB28" s="23">
        <v>419</v>
      </c>
      <c r="AC28" s="23">
        <v>65</v>
      </c>
      <c r="AD28" s="23">
        <v>26</v>
      </c>
      <c r="AE28" s="22">
        <v>143</v>
      </c>
      <c r="AF28" s="23">
        <v>279</v>
      </c>
      <c r="AG28" s="23">
        <v>258</v>
      </c>
      <c r="AH28" s="23">
        <v>266</v>
      </c>
      <c r="AI28" s="22">
        <v>224</v>
      </c>
      <c r="AJ28" s="23">
        <v>157</v>
      </c>
      <c r="AK28" s="23">
        <v>152</v>
      </c>
      <c r="AL28" s="23">
        <v>404</v>
      </c>
      <c r="AM28" s="22">
        <v>204</v>
      </c>
      <c r="AN28" s="23">
        <v>272</v>
      </c>
      <c r="AO28" s="23">
        <v>106</v>
      </c>
      <c r="AP28" s="23">
        <v>90</v>
      </c>
      <c r="AQ28" s="22">
        <v>155</v>
      </c>
      <c r="AR28" s="23">
        <v>168</v>
      </c>
      <c r="AS28" s="23">
        <v>143</v>
      </c>
      <c r="AT28" s="23">
        <v>163</v>
      </c>
      <c r="AU28" s="22">
        <v>225</v>
      </c>
      <c r="AV28" s="24">
        <v>302</v>
      </c>
      <c r="AW28" s="24">
        <v>197</v>
      </c>
      <c r="AX28" s="24">
        <v>310</v>
      </c>
      <c r="AY28" s="25">
        <v>299</v>
      </c>
      <c r="AZ28" s="24">
        <v>397</v>
      </c>
      <c r="BA28" s="24">
        <v>298</v>
      </c>
      <c r="BB28" s="24">
        <v>252</v>
      </c>
      <c r="BC28" s="25">
        <v>231</v>
      </c>
      <c r="BD28" s="24">
        <v>296</v>
      </c>
      <c r="BE28" s="24">
        <v>169</v>
      </c>
      <c r="BF28" s="27"/>
      <c r="BG28" s="28"/>
      <c r="BH28" s="27"/>
      <c r="BI28" s="27"/>
      <c r="BJ28" s="27"/>
      <c r="BK28" s="23"/>
      <c r="BL28" s="29">
        <f t="shared" si="70"/>
        <v>672</v>
      </c>
      <c r="BM28" s="23">
        <f t="shared" si="71"/>
        <v>629</v>
      </c>
      <c r="BN28" s="23">
        <f t="shared" si="72"/>
        <v>1034</v>
      </c>
      <c r="BO28" s="23">
        <f t="shared" si="73"/>
        <v>1246</v>
      </c>
      <c r="BP28" s="23">
        <f t="shared" si="74"/>
        <v>696</v>
      </c>
      <c r="BQ28" s="23"/>
      <c r="BR28" s="23">
        <f t="shared" si="75"/>
        <v>1304</v>
      </c>
      <c r="BS28" s="30">
        <f t="shared" si="76"/>
        <v>948</v>
      </c>
      <c r="BT28" s="31">
        <f t="shared" si="77"/>
        <v>168</v>
      </c>
      <c r="BU28" s="31">
        <f t="shared" si="78"/>
        <v>157.25</v>
      </c>
      <c r="BV28" s="31">
        <f t="shared" si="79"/>
        <v>258.5</v>
      </c>
      <c r="BW28" s="31">
        <f t="shared" si="80"/>
        <v>311.5</v>
      </c>
      <c r="BX28" s="31">
        <f t="shared" si="81"/>
        <v>232</v>
      </c>
      <c r="BY28" s="32">
        <f t="shared" si="82"/>
        <v>229.31818181818181</v>
      </c>
      <c r="BZ28" s="33"/>
      <c r="CA28" s="34">
        <f t="shared" si="83"/>
        <v>-0.42905405405405406</v>
      </c>
      <c r="CB28" s="34">
        <f t="shared" si="84"/>
        <v>-0.43288590604026844</v>
      </c>
      <c r="CC28" s="34">
        <f t="shared" si="85"/>
        <v>-0.26303270564915759</v>
      </c>
      <c r="CD28" s="34">
        <f t="shared" si="86"/>
        <v>-0.27300613496932513</v>
      </c>
      <c r="CE28" s="33"/>
      <c r="CF28" s="34">
        <f t="shared" si="87"/>
        <v>1.1694747274529238E-2</v>
      </c>
      <c r="CG28" s="33"/>
      <c r="CH28" s="34">
        <f t="shared" si="88"/>
        <v>-6.3988095238095233E-2</v>
      </c>
      <c r="CI28" s="34">
        <f t="shared" si="88"/>
        <v>0.64387917329093791</v>
      </c>
      <c r="CJ28" s="34">
        <f t="shared" si="88"/>
        <v>0.20502901353965175</v>
      </c>
      <c r="CK28" s="34">
        <f t="shared" si="88"/>
        <v>-0.4414125200642055</v>
      </c>
    </row>
    <row r="29" spans="2:89" s="8" customFormat="1">
      <c r="B29" s="8" t="s">
        <v>70</v>
      </c>
      <c r="C29" s="76">
        <f t="shared" si="89"/>
        <v>864</v>
      </c>
      <c r="D29" s="76">
        <f t="shared" si="90"/>
        <v>1178</v>
      </c>
      <c r="E29" s="76">
        <f t="shared" si="91"/>
        <v>1713</v>
      </c>
      <c r="F29" s="76">
        <f t="shared" si="92"/>
        <v>1749</v>
      </c>
      <c r="G29" s="76">
        <f t="shared" si="93"/>
        <v>2549</v>
      </c>
      <c r="H29" s="76">
        <f t="shared" si="94"/>
        <v>1589</v>
      </c>
      <c r="I29" s="76">
        <f t="shared" si="95"/>
        <v>1181</v>
      </c>
      <c r="J29" s="76">
        <f t="shared" si="96"/>
        <v>1026</v>
      </c>
      <c r="K29" s="76">
        <f t="shared" si="97"/>
        <v>1499</v>
      </c>
      <c r="L29" s="76">
        <f t="shared" si="98"/>
        <v>1571</v>
      </c>
      <c r="M29" s="76">
        <f t="shared" si="99"/>
        <v>1120</v>
      </c>
      <c r="O29" s="22">
        <v>239</v>
      </c>
      <c r="P29" s="23">
        <v>104</v>
      </c>
      <c r="Q29" s="23">
        <v>210</v>
      </c>
      <c r="R29" s="23">
        <v>311</v>
      </c>
      <c r="S29" s="22">
        <v>212</v>
      </c>
      <c r="T29" s="23">
        <v>364</v>
      </c>
      <c r="U29" s="23">
        <v>275</v>
      </c>
      <c r="V29" s="23">
        <v>327</v>
      </c>
      <c r="W29" s="22">
        <v>393</v>
      </c>
      <c r="X29" s="23">
        <v>509</v>
      </c>
      <c r="Y29" s="23">
        <v>267</v>
      </c>
      <c r="Z29" s="23">
        <v>544</v>
      </c>
      <c r="AA29" s="22">
        <v>359</v>
      </c>
      <c r="AB29" s="23">
        <v>542</v>
      </c>
      <c r="AC29" s="23">
        <v>518</v>
      </c>
      <c r="AD29" s="23">
        <v>330</v>
      </c>
      <c r="AE29" s="22">
        <v>308</v>
      </c>
      <c r="AF29" s="23">
        <v>1103</v>
      </c>
      <c r="AG29" s="23">
        <v>681</v>
      </c>
      <c r="AH29" s="23">
        <v>457</v>
      </c>
      <c r="AI29" s="22">
        <v>413</v>
      </c>
      <c r="AJ29" s="23">
        <v>354</v>
      </c>
      <c r="AK29" s="23">
        <v>333</v>
      </c>
      <c r="AL29" s="23">
        <v>489</v>
      </c>
      <c r="AM29" s="22">
        <v>379</v>
      </c>
      <c r="AN29" s="23">
        <v>455</v>
      </c>
      <c r="AO29" s="23">
        <v>178</v>
      </c>
      <c r="AP29" s="23">
        <v>169</v>
      </c>
      <c r="AQ29" s="22">
        <v>276</v>
      </c>
      <c r="AR29" s="23">
        <v>250</v>
      </c>
      <c r="AS29" s="23">
        <v>235</v>
      </c>
      <c r="AT29" s="23">
        <v>265</v>
      </c>
      <c r="AU29" s="22">
        <v>273</v>
      </c>
      <c r="AV29" s="24">
        <v>457</v>
      </c>
      <c r="AW29" s="24">
        <v>333</v>
      </c>
      <c r="AX29" s="24">
        <v>436</v>
      </c>
      <c r="AY29" s="25">
        <v>353</v>
      </c>
      <c r="AZ29" s="24">
        <v>477</v>
      </c>
      <c r="BA29" s="26">
        <v>414</v>
      </c>
      <c r="BB29" s="26">
        <v>327</v>
      </c>
      <c r="BC29" s="35">
        <v>399</v>
      </c>
      <c r="BD29" s="26">
        <v>452</v>
      </c>
      <c r="BE29" s="26">
        <v>269</v>
      </c>
      <c r="BF29" s="27"/>
      <c r="BG29" s="28"/>
      <c r="BH29" s="27"/>
      <c r="BI29" s="27"/>
      <c r="BJ29" s="27"/>
      <c r="BK29" s="23"/>
      <c r="BL29" s="29">
        <f t="shared" si="70"/>
        <v>1181</v>
      </c>
      <c r="BM29" s="23">
        <f t="shared" si="71"/>
        <v>1026</v>
      </c>
      <c r="BN29" s="23">
        <f t="shared" si="72"/>
        <v>1499</v>
      </c>
      <c r="BO29" s="23">
        <f t="shared" si="73"/>
        <v>1571</v>
      </c>
      <c r="BP29" s="23">
        <f t="shared" si="74"/>
        <v>1120</v>
      </c>
      <c r="BQ29" s="23"/>
      <c r="BR29" s="23">
        <f t="shared" si="75"/>
        <v>1680</v>
      </c>
      <c r="BS29" s="30">
        <f t="shared" si="76"/>
        <v>1447</v>
      </c>
      <c r="BT29" s="31">
        <f t="shared" si="77"/>
        <v>295.25</v>
      </c>
      <c r="BU29" s="31">
        <f t="shared" si="78"/>
        <v>256.5</v>
      </c>
      <c r="BV29" s="31">
        <f t="shared" si="79"/>
        <v>374.75</v>
      </c>
      <c r="BW29" s="31">
        <f t="shared" si="80"/>
        <v>392.75</v>
      </c>
      <c r="BX29" s="31">
        <f t="shared" si="81"/>
        <v>373.33333333333331</v>
      </c>
      <c r="BY29" s="32">
        <f t="shared" si="82"/>
        <v>350.77272727272725</v>
      </c>
      <c r="BZ29" s="33"/>
      <c r="CA29" s="34">
        <f t="shared" si="83"/>
        <v>-0.40486725663716816</v>
      </c>
      <c r="CB29" s="34">
        <f t="shared" si="84"/>
        <v>-0.35024154589371981</v>
      </c>
      <c r="CC29" s="34">
        <f t="shared" si="85"/>
        <v>-0.23312167940909678</v>
      </c>
      <c r="CD29" s="34">
        <f t="shared" si="86"/>
        <v>-0.13869047619047614</v>
      </c>
      <c r="CE29" s="33"/>
      <c r="CF29" s="34">
        <f t="shared" si="87"/>
        <v>6.4316876160857017E-2</v>
      </c>
      <c r="CG29" s="33"/>
      <c r="CH29" s="34">
        <f t="shared" si="88"/>
        <v>-0.13124470787468245</v>
      </c>
      <c r="CI29" s="34">
        <f t="shared" si="88"/>
        <v>0.46101364522417154</v>
      </c>
      <c r="CJ29" s="34">
        <f t="shared" si="88"/>
        <v>4.8032021347565124E-2</v>
      </c>
      <c r="CK29" s="34">
        <f t="shared" si="88"/>
        <v>-0.28707829408020369</v>
      </c>
    </row>
    <row r="30" spans="2:89" s="8" customFormat="1">
      <c r="B30" s="36" t="s">
        <v>76</v>
      </c>
      <c r="C30" s="76">
        <f t="shared" ref="C30" si="100">SUM(O30:R30)</f>
        <v>954.40000000000009</v>
      </c>
      <c r="D30" s="76">
        <f t="shared" ref="D30" si="101">SUM(S30:V30)</f>
        <v>1275</v>
      </c>
      <c r="E30" s="76">
        <f t="shared" ref="E30" si="102">SUM(W30:Z30)</f>
        <v>1705</v>
      </c>
      <c r="F30" s="76">
        <f t="shared" ref="F30" si="103">SUM(AA30:AD30)</f>
        <v>1224.9999999999998</v>
      </c>
      <c r="G30" s="76">
        <f t="shared" ref="G30" si="104">SUM(AE30:AH30)</f>
        <v>1566.2000000000003</v>
      </c>
      <c r="H30" s="76">
        <f t="shared" ref="H30" si="105">SUM(AI30:AL30)</f>
        <v>1354.1999999999998</v>
      </c>
      <c r="I30" s="76">
        <f t="shared" ref="I30" si="106">SUM(AM30:AP30)</f>
        <v>1104.5999999999999</v>
      </c>
      <c r="J30" s="76">
        <f t="shared" ref="J30" si="107">SUM(AQ30:AT30)</f>
        <v>912</v>
      </c>
      <c r="K30" s="76">
        <f t="shared" ref="K30" si="108">SUM(AU30:AX30)</f>
        <v>1385.2000000000003</v>
      </c>
      <c r="L30" s="76">
        <f t="shared" ref="L30" si="109">SUM(AY30:BB30)</f>
        <v>1533.9999999999998</v>
      </c>
      <c r="M30" s="76">
        <f t="shared" ref="M30" si="110">SUM(BC30:BE30)</f>
        <v>1026</v>
      </c>
      <c r="N30" s="36"/>
      <c r="O30" s="37">
        <f t="shared" ref="O30:BE30" si="111">AVERAGE(O25:O29)</f>
        <v>222.8</v>
      </c>
      <c r="P30" s="38">
        <f t="shared" si="111"/>
        <v>179.4</v>
      </c>
      <c r="Q30" s="38">
        <f t="shared" si="111"/>
        <v>244</v>
      </c>
      <c r="R30" s="38">
        <f t="shared" si="111"/>
        <v>308.2</v>
      </c>
      <c r="S30" s="37">
        <f t="shared" si="111"/>
        <v>256.2</v>
      </c>
      <c r="T30" s="38">
        <f t="shared" si="111"/>
        <v>386</v>
      </c>
      <c r="U30" s="38">
        <f t="shared" si="111"/>
        <v>246.2</v>
      </c>
      <c r="V30" s="38">
        <f t="shared" si="111"/>
        <v>386.6</v>
      </c>
      <c r="W30" s="37">
        <f t="shared" si="111"/>
        <v>383</v>
      </c>
      <c r="X30" s="38">
        <f t="shared" si="111"/>
        <v>509.2</v>
      </c>
      <c r="Y30" s="38">
        <f t="shared" si="111"/>
        <v>369</v>
      </c>
      <c r="Z30" s="38">
        <f t="shared" si="111"/>
        <v>443.8</v>
      </c>
      <c r="AA30" s="37">
        <f t="shared" si="111"/>
        <v>263.8</v>
      </c>
      <c r="AB30" s="38">
        <f t="shared" si="111"/>
        <v>497</v>
      </c>
      <c r="AC30" s="38">
        <f t="shared" si="111"/>
        <v>266.39999999999998</v>
      </c>
      <c r="AD30" s="38">
        <f t="shared" si="111"/>
        <v>197.8</v>
      </c>
      <c r="AE30" s="37">
        <f t="shared" si="111"/>
        <v>162.19999999999999</v>
      </c>
      <c r="AF30" s="38">
        <f t="shared" si="111"/>
        <v>616.20000000000005</v>
      </c>
      <c r="AG30" s="38">
        <f t="shared" si="111"/>
        <v>432.4</v>
      </c>
      <c r="AH30" s="38">
        <f t="shared" si="111"/>
        <v>355.4</v>
      </c>
      <c r="AI30" s="37">
        <f t="shared" si="111"/>
        <v>317.39999999999998</v>
      </c>
      <c r="AJ30" s="38">
        <f t="shared" si="111"/>
        <v>258.2</v>
      </c>
      <c r="AK30" s="38">
        <f t="shared" si="111"/>
        <v>269</v>
      </c>
      <c r="AL30" s="38">
        <f t="shared" si="111"/>
        <v>509.6</v>
      </c>
      <c r="AM30" s="37">
        <f t="shared" si="111"/>
        <v>348.4</v>
      </c>
      <c r="AN30" s="38">
        <f t="shared" si="111"/>
        <v>389.2</v>
      </c>
      <c r="AO30" s="38">
        <f t="shared" si="111"/>
        <v>185.8</v>
      </c>
      <c r="AP30" s="38">
        <f t="shared" si="111"/>
        <v>181.2</v>
      </c>
      <c r="AQ30" s="37">
        <f t="shared" si="111"/>
        <v>232.6</v>
      </c>
      <c r="AR30" s="38">
        <f t="shared" si="111"/>
        <v>226.4</v>
      </c>
      <c r="AS30" s="38">
        <f t="shared" si="111"/>
        <v>209</v>
      </c>
      <c r="AT30" s="38">
        <f t="shared" si="111"/>
        <v>244</v>
      </c>
      <c r="AU30" s="37">
        <f t="shared" si="111"/>
        <v>298.8</v>
      </c>
      <c r="AV30" s="38">
        <f t="shared" si="111"/>
        <v>362.6</v>
      </c>
      <c r="AW30" s="38">
        <f t="shared" si="111"/>
        <v>274.2</v>
      </c>
      <c r="AX30" s="38">
        <f t="shared" si="111"/>
        <v>449.6</v>
      </c>
      <c r="AY30" s="37">
        <f t="shared" si="111"/>
        <v>343.4</v>
      </c>
      <c r="AZ30" s="38">
        <f t="shared" si="111"/>
        <v>484.4</v>
      </c>
      <c r="BA30" s="39">
        <f t="shared" si="111"/>
        <v>383.4</v>
      </c>
      <c r="BB30" s="39">
        <f t="shared" si="111"/>
        <v>322.8</v>
      </c>
      <c r="BC30" s="37">
        <f t="shared" si="111"/>
        <v>363</v>
      </c>
      <c r="BD30" s="38">
        <f t="shared" si="111"/>
        <v>449.8</v>
      </c>
      <c r="BE30" s="38">
        <f t="shared" si="111"/>
        <v>213.2</v>
      </c>
      <c r="BF30" s="38"/>
      <c r="BG30" s="37"/>
      <c r="BH30" s="38"/>
      <c r="BI30" s="38"/>
      <c r="BJ30" s="38"/>
      <c r="BK30" s="23"/>
      <c r="BL30" s="42">
        <f t="shared" si="70"/>
        <v>1104.5999999999999</v>
      </c>
      <c r="BM30" s="38">
        <f t="shared" si="71"/>
        <v>912</v>
      </c>
      <c r="BN30" s="38">
        <f t="shared" si="72"/>
        <v>1385.2000000000003</v>
      </c>
      <c r="BO30" s="38">
        <f t="shared" si="73"/>
        <v>1533.9999999999998</v>
      </c>
      <c r="BP30" s="38">
        <f t="shared" si="74"/>
        <v>1026</v>
      </c>
      <c r="BQ30" s="23"/>
      <c r="BR30" s="38">
        <f t="shared" si="75"/>
        <v>1660.8000000000002</v>
      </c>
      <c r="BS30" s="43">
        <f t="shared" si="76"/>
        <v>1348.8</v>
      </c>
      <c r="BT30" s="44">
        <f t="shared" si="77"/>
        <v>276.14999999999998</v>
      </c>
      <c r="BU30" s="44">
        <f t="shared" si="78"/>
        <v>228</v>
      </c>
      <c r="BV30" s="44">
        <f t="shared" si="79"/>
        <v>346.30000000000007</v>
      </c>
      <c r="BW30" s="44">
        <f t="shared" si="80"/>
        <v>383.49999999999994</v>
      </c>
      <c r="BX30" s="44">
        <f t="shared" si="81"/>
        <v>342</v>
      </c>
      <c r="BY30" s="45">
        <f t="shared" si="82"/>
        <v>322.85454545454542</v>
      </c>
      <c r="BZ30" s="33"/>
      <c r="CA30" s="46">
        <f t="shared" si="83"/>
        <v>-0.52601156069364163</v>
      </c>
      <c r="CB30" s="46">
        <f t="shared" si="84"/>
        <v>-0.44392279603547213</v>
      </c>
      <c r="CC30" s="46">
        <f t="shared" si="85"/>
        <v>-0.3396407050740553</v>
      </c>
      <c r="CD30" s="46">
        <f t="shared" si="86"/>
        <v>-0.18786127167630073</v>
      </c>
      <c r="CE30" s="33"/>
      <c r="CF30" s="46">
        <f t="shared" si="87"/>
        <v>5.9300557526609454E-2</v>
      </c>
      <c r="CG30" s="33"/>
      <c r="CH30" s="46">
        <f t="shared" si="88"/>
        <v>-0.17436175991309066</v>
      </c>
      <c r="CI30" s="46">
        <f t="shared" si="88"/>
        <v>0.51885964912280724</v>
      </c>
      <c r="CJ30" s="46">
        <f t="shared" si="88"/>
        <v>0.10742131100202101</v>
      </c>
      <c r="CK30" s="46">
        <f t="shared" si="88"/>
        <v>-0.33116036505867008</v>
      </c>
    </row>
    <row r="31" spans="2:89" s="8" customFormat="1">
      <c r="O31" s="22"/>
      <c r="P31" s="23"/>
      <c r="Q31" s="23"/>
      <c r="R31" s="23"/>
      <c r="S31" s="22"/>
      <c r="T31" s="23"/>
      <c r="U31" s="23"/>
      <c r="V31" s="23"/>
      <c r="W31" s="22"/>
      <c r="X31" s="23"/>
      <c r="Y31" s="23"/>
      <c r="Z31" s="23"/>
      <c r="AA31" s="22"/>
      <c r="AB31" s="23"/>
      <c r="AC31" s="23"/>
      <c r="AD31" s="23"/>
      <c r="AE31" s="22"/>
      <c r="AF31" s="23"/>
      <c r="AG31" s="23"/>
      <c r="AH31" s="23"/>
      <c r="AI31" s="22"/>
      <c r="AJ31" s="23"/>
      <c r="AK31" s="23"/>
      <c r="AL31" s="23"/>
      <c r="AM31" s="22"/>
      <c r="AN31" s="23"/>
      <c r="AO31" s="23"/>
      <c r="AP31" s="23"/>
      <c r="AQ31" s="22"/>
      <c r="AR31" s="23"/>
      <c r="AS31" s="23"/>
      <c r="AT31" s="24"/>
      <c r="AU31" s="25"/>
      <c r="AV31" s="24"/>
      <c r="AW31" s="24"/>
      <c r="AX31" s="24"/>
      <c r="AY31" s="25"/>
      <c r="AZ31" s="24"/>
      <c r="BA31" s="26"/>
      <c r="BB31" s="24"/>
      <c r="BC31" s="25"/>
      <c r="BD31" s="24"/>
      <c r="BE31" s="24"/>
      <c r="BF31" s="24"/>
      <c r="BG31" s="25"/>
      <c r="BH31" s="24"/>
      <c r="BI31" s="24"/>
      <c r="BJ31" s="24"/>
      <c r="BK31" s="24"/>
      <c r="BL31" s="29"/>
      <c r="BM31" s="23"/>
      <c r="BN31" s="23"/>
      <c r="BO31" s="23"/>
      <c r="BP31" s="23"/>
      <c r="BQ31" s="23"/>
      <c r="BR31" s="23"/>
      <c r="BS31" s="30"/>
      <c r="BT31" s="31"/>
      <c r="BU31" s="31"/>
      <c r="BV31" s="31"/>
      <c r="BW31" s="31"/>
      <c r="BX31" s="31"/>
      <c r="BY31" s="32"/>
      <c r="BZ31" s="33"/>
      <c r="CA31" s="34"/>
      <c r="CB31" s="34"/>
      <c r="CC31" s="34"/>
      <c r="CD31" s="34"/>
      <c r="CE31" s="33"/>
      <c r="CF31" s="34"/>
      <c r="CG31" s="33"/>
      <c r="CH31" s="34"/>
      <c r="CI31" s="34"/>
      <c r="CJ31" s="34"/>
      <c r="CK31" s="34"/>
    </row>
    <row r="32" spans="2:89" s="8" customFormat="1" hidden="1" outlineLevel="1">
      <c r="B32" s="8" t="s">
        <v>71</v>
      </c>
      <c r="O32" s="22" t="s">
        <v>72</v>
      </c>
      <c r="P32" s="23" t="s">
        <v>72</v>
      </c>
      <c r="Q32" s="23" t="s">
        <v>72</v>
      </c>
      <c r="R32" s="23" t="s">
        <v>72</v>
      </c>
      <c r="S32" s="22" t="s">
        <v>72</v>
      </c>
      <c r="T32" s="23" t="s">
        <v>72</v>
      </c>
      <c r="U32" s="23" t="s">
        <v>72</v>
      </c>
      <c r="V32" s="23" t="s">
        <v>72</v>
      </c>
      <c r="W32" s="22" t="s">
        <v>72</v>
      </c>
      <c r="X32" s="23" t="s">
        <v>72</v>
      </c>
      <c r="Y32" s="23" t="s">
        <v>72</v>
      </c>
      <c r="Z32" s="23" t="s">
        <v>72</v>
      </c>
      <c r="AA32" s="22" t="s">
        <v>72</v>
      </c>
      <c r="AB32" s="23" t="s">
        <v>72</v>
      </c>
      <c r="AC32" s="23" t="s">
        <v>72</v>
      </c>
      <c r="AD32" s="23" t="s">
        <v>72</v>
      </c>
      <c r="AE32" s="22" t="s">
        <v>72</v>
      </c>
      <c r="AF32" s="23" t="s">
        <v>72</v>
      </c>
      <c r="AG32" s="23" t="s">
        <v>72</v>
      </c>
      <c r="AH32" s="23" t="s">
        <v>72</v>
      </c>
      <c r="AI32" s="22" t="s">
        <v>72</v>
      </c>
      <c r="AJ32" s="23" t="s">
        <v>72</v>
      </c>
      <c r="AK32" s="23" t="s">
        <v>72</v>
      </c>
      <c r="AL32" s="23" t="s">
        <v>72</v>
      </c>
      <c r="AM32" s="22" t="s">
        <v>72</v>
      </c>
      <c r="AN32" s="23" t="s">
        <v>72</v>
      </c>
      <c r="AO32" s="23" t="s">
        <v>72</v>
      </c>
      <c r="AP32" s="23" t="s">
        <v>72</v>
      </c>
      <c r="AQ32" s="22" t="s">
        <v>72</v>
      </c>
      <c r="AR32" s="23" t="s">
        <v>72</v>
      </c>
      <c r="AS32" s="23" t="s">
        <v>72</v>
      </c>
      <c r="AT32" s="24" t="s">
        <v>72</v>
      </c>
      <c r="AU32" s="25" t="s">
        <v>72</v>
      </c>
      <c r="AV32" s="24" t="s">
        <v>72</v>
      </c>
      <c r="AW32" s="24" t="s">
        <v>72</v>
      </c>
      <c r="AX32" s="24" t="s">
        <v>72</v>
      </c>
      <c r="AY32" s="25" t="s">
        <v>72</v>
      </c>
      <c r="AZ32" s="24" t="s">
        <v>72</v>
      </c>
      <c r="BA32" s="24" t="s">
        <v>72</v>
      </c>
      <c r="BB32" s="24" t="s">
        <v>72</v>
      </c>
      <c r="BC32" s="25" t="s">
        <v>72</v>
      </c>
      <c r="BD32" s="24" t="s">
        <v>72</v>
      </c>
      <c r="BE32" s="24" t="s">
        <v>72</v>
      </c>
      <c r="BF32" s="24"/>
      <c r="BG32" s="25"/>
      <c r="BH32" s="24"/>
      <c r="BI32" s="24"/>
      <c r="BJ32" s="24"/>
      <c r="BK32" s="24"/>
      <c r="BL32" s="29"/>
      <c r="BM32" s="23"/>
      <c r="BN32" s="23"/>
      <c r="BO32" s="23"/>
      <c r="BP32" s="23"/>
      <c r="BQ32" s="23"/>
      <c r="BR32" s="23"/>
      <c r="BS32" s="30"/>
      <c r="BT32" s="31"/>
      <c r="BU32" s="31"/>
      <c r="BV32" s="31"/>
      <c r="BW32" s="31"/>
      <c r="BX32" s="31"/>
      <c r="BY32" s="32"/>
      <c r="BZ32" s="33"/>
      <c r="CA32" s="34"/>
      <c r="CB32" s="34"/>
      <c r="CC32" s="34"/>
      <c r="CD32" s="34"/>
      <c r="CE32" s="33"/>
      <c r="CF32" s="34"/>
      <c r="CG32" s="33"/>
      <c r="CH32" s="34"/>
      <c r="CI32" s="34"/>
      <c r="CJ32" s="34"/>
      <c r="CK32" s="34"/>
    </row>
    <row r="33" spans="2:89" s="8" customFormat="1" hidden="1" outlineLevel="1">
      <c r="B33" s="8" t="s">
        <v>73</v>
      </c>
      <c r="O33" s="22">
        <f>139/1.18179093006696</f>
        <v>117.61809679155711</v>
      </c>
      <c r="P33" s="23">
        <f>186/1.2262072165063</f>
        <v>151.68724950905911</v>
      </c>
      <c r="Q33" s="23">
        <f>263/1.2731750919634</f>
        <v>206.57017378059143</v>
      </c>
      <c r="R33" s="23">
        <f>343/1.30106828551284</f>
        <v>263.62951416097292</v>
      </c>
      <c r="S33" s="22">
        <f>249/1.29571400088145</f>
        <v>192.17203783443719</v>
      </c>
      <c r="T33" s="23">
        <f>313/1.24200401859975</f>
        <v>252.01206704055585</v>
      </c>
      <c r="U33" s="23">
        <f>224/1.23727922517284</f>
        <v>181.0423996804025</v>
      </c>
      <c r="V33" s="23">
        <f>484/1.23509407876847</f>
        <v>391.87298224488558</v>
      </c>
      <c r="W33" s="22">
        <f>343/1.23273802977337</f>
        <v>278.2424097543726</v>
      </c>
      <c r="X33" s="23">
        <f>464/1.22240293114084</f>
        <v>379.58024165318363</v>
      </c>
      <c r="Y33" s="23">
        <f>300/1.19889112487371</f>
        <v>250.23122932167982</v>
      </c>
      <c r="Z33" s="23">
        <f>412/1.14587907122353</f>
        <v>359.5492843412182</v>
      </c>
      <c r="AA33" s="22">
        <f>183/1.06675970047235</f>
        <v>171.54753776222475</v>
      </c>
      <c r="AB33" s="23">
        <f>264/1.03106342716605</f>
        <v>256.04632367343538</v>
      </c>
      <c r="AC33" s="23">
        <f>198/1.07158969959517</f>
        <v>184.77221279264009</v>
      </c>
      <c r="AD33" s="23">
        <f>211/1.15387496023516</f>
        <v>182.86210141608254</v>
      </c>
      <c r="AE33" s="22">
        <f>74/1.14636850650843</f>
        <v>64.551668664892645</v>
      </c>
      <c r="AF33" s="23">
        <f>301/1.11054400750259</f>
        <v>271.03833613662357</v>
      </c>
      <c r="AG33" s="23">
        <f>351/1.06193206768699</f>
        <v>330.52961736480785</v>
      </c>
      <c r="AH33" s="23">
        <f>464/1.02143151890403</f>
        <v>454.26442342200306</v>
      </c>
      <c r="AI33" s="22">
        <f>219/1.0572</f>
        <v>207.15096481271283</v>
      </c>
      <c r="AJ33" s="23">
        <f>214/1.1085</f>
        <v>193.05367613892648</v>
      </c>
      <c r="AK33" s="23">
        <f>168/1.0321</f>
        <v>162.77492491037691</v>
      </c>
      <c r="AL33" s="23">
        <f>293/0.9731</f>
        <v>301.09957866611859</v>
      </c>
      <c r="AM33" s="22">
        <f>201/0.9412</f>
        <v>213.55716107097322</v>
      </c>
      <c r="AN33" s="23">
        <f>290/0.8698</f>
        <v>333.40997930558751</v>
      </c>
      <c r="AO33" s="23">
        <f>112/0.8254</f>
        <v>135.69178580082385</v>
      </c>
      <c r="AP33" s="23">
        <f>110/0.9124</f>
        <v>120.56115738711092</v>
      </c>
      <c r="AQ33" s="22">
        <f>119/0.9215</f>
        <v>129.13727618014107</v>
      </c>
      <c r="AR33" s="23">
        <f>93/0.9364</f>
        <v>99.316531396838954</v>
      </c>
      <c r="AS33" s="23">
        <f>173/0.9623</f>
        <v>179.77761612802661</v>
      </c>
      <c r="AT33" s="24">
        <f>167/0.931</f>
        <v>179.37701396348012</v>
      </c>
      <c r="AU33" s="25">
        <f>157/0.9304</f>
        <v>168.74462596732587</v>
      </c>
      <c r="AV33" s="24">
        <f>207/0.9429</f>
        <v>219.53547566019728</v>
      </c>
      <c r="AW33" s="24">
        <f>129/0.932202</f>
        <v>138.38202449683652</v>
      </c>
      <c r="AX33" s="24">
        <f>273/0.903041</f>
        <v>302.31185516493713</v>
      </c>
      <c r="AY33" s="25">
        <f>183/0.892953968253968</f>
        <v>204.93777563677546</v>
      </c>
      <c r="AZ33" s="24">
        <f>268/0.8890421875</f>
        <v>301.44801199324417</v>
      </c>
      <c r="BA33" s="26">
        <f>214/0.955109837631328</f>
        <v>224.05799999999991</v>
      </c>
      <c r="BB33" s="24">
        <f>205/0.964156153846154</f>
        <v>212.6211601535978</v>
      </c>
      <c r="BC33" s="25">
        <f>153/0.953146825396825</f>
        <v>160.52091443131155</v>
      </c>
      <c r="BD33" s="24">
        <f>240/0.941266666666666</f>
        <v>254.97556484170283</v>
      </c>
      <c r="BE33" s="24">
        <f>117/0.9862</f>
        <v>118.63719326708579</v>
      </c>
      <c r="BF33" s="24"/>
      <c r="BG33" s="25"/>
      <c r="BH33" s="24"/>
      <c r="BI33" s="24"/>
      <c r="BJ33" s="24"/>
      <c r="BK33" s="24"/>
      <c r="BL33" s="29">
        <f t="shared" ref="BL33:BL37" si="112">SUM(AM33:AP33)</f>
        <v>803.22008356449555</v>
      </c>
      <c r="BM33" s="23">
        <f t="shared" ref="BM33:BM37" si="113">SUM(AQ33:AT33)</f>
        <v>587.60843766848666</v>
      </c>
      <c r="BN33" s="23">
        <f t="shared" ref="BN33:BN37" si="114">SUM(AU33:AX33)</f>
        <v>828.97398128929683</v>
      </c>
      <c r="BO33" s="23">
        <f t="shared" ref="BO33:BO37" si="115">SUM(AY33:BB33)</f>
        <v>943.0649477836173</v>
      </c>
      <c r="BP33" s="23">
        <f t="shared" ref="BP33:BP37" si="116">SUM(BC33:BF33)</f>
        <v>534.13367254010018</v>
      </c>
      <c r="BQ33" s="23"/>
      <c r="BR33" s="23">
        <f t="shared" ref="BR33:BR37" si="117">SUM(AX33:BA33)</f>
        <v>1032.7556427949567</v>
      </c>
      <c r="BS33" s="30">
        <f t="shared" ref="BS33:BS37" si="118">SUM(BB33:BE33)</f>
        <v>746.75483269369795</v>
      </c>
      <c r="BT33" s="31">
        <f t="shared" ref="BT33:BT37" si="119">AVERAGE(AM33:AP33)</f>
        <v>200.80502089112389</v>
      </c>
      <c r="BU33" s="31">
        <f t="shared" ref="BU33:BU37" si="120">AVERAGE(AQ33:AT33)</f>
        <v>146.90210941712166</v>
      </c>
      <c r="BV33" s="31">
        <f t="shared" ref="BV33:BV37" si="121">AVERAGE(AU33:AX33)</f>
        <v>207.24349532232421</v>
      </c>
      <c r="BW33" s="31">
        <f t="shared" ref="BW33:BW37" si="122">AVERAGE(AY33:BB33)</f>
        <v>235.76623694590432</v>
      </c>
      <c r="BX33" s="31">
        <f t="shared" ref="BX33:BX37" si="123">AVERAGE(BC33:BF33)</f>
        <v>178.04455751336673</v>
      </c>
      <c r="BY33" s="32">
        <f t="shared" ref="BY33:BY37" si="124">AVERAGE(AI33:BD33)</f>
        <v>201.92923064122934</v>
      </c>
      <c r="BZ33" s="33"/>
      <c r="CA33" s="34">
        <f t="shared" ref="CA33:CA37" si="125">BE33/BD33-1</f>
        <v>-0.53471151896167135</v>
      </c>
      <c r="CB33" s="34">
        <f t="shared" ref="CB33:CB37" si="126">BE33/BA33-1</f>
        <v>-0.47050677383942618</v>
      </c>
      <c r="CC33" s="34">
        <f t="shared" ref="CC33:CC37" si="127">BE33/BY33-1</f>
        <v>-0.41248132877864396</v>
      </c>
      <c r="CD33" s="34">
        <f t="shared" ref="CD33:CD37" si="128">BS33/BR33-1</f>
        <v>-0.27692979660440487</v>
      </c>
      <c r="CE33" s="33"/>
      <c r="CF33" s="34">
        <f t="shared" ref="CF33:CF37" si="129">BX33/BY33-1</f>
        <v>-0.1182823955304364</v>
      </c>
      <c r="CG33" s="33"/>
      <c r="CH33" s="34">
        <f t="shared" ref="CH33:CK37" si="130">BM33/BL33-1</f>
        <v>-0.26843408214990938</v>
      </c>
      <c r="CI33" s="34">
        <f t="shared" si="130"/>
        <v>0.4107591520953997</v>
      </c>
      <c r="CJ33" s="34">
        <f t="shared" si="130"/>
        <v>0.13762912837972996</v>
      </c>
      <c r="CK33" s="34">
        <f t="shared" si="130"/>
        <v>-0.43361941953688732</v>
      </c>
    </row>
    <row r="34" spans="2:89" s="8" customFormat="1" hidden="1" outlineLevel="1">
      <c r="B34" s="8" t="s">
        <v>74</v>
      </c>
      <c r="O34" s="22">
        <f>128*1.310659375</f>
        <v>167.76439999999999</v>
      </c>
      <c r="P34" s="23">
        <f>159*1.25901230769231</f>
        <v>200.18295692307731</v>
      </c>
      <c r="Q34" s="23">
        <f>156*1.22021818181818</f>
        <v>190.35403636363608</v>
      </c>
      <c r="R34" s="23">
        <f>204*1.18926615384615</f>
        <v>242.6102953846146</v>
      </c>
      <c r="S34" s="22">
        <f>154*1.20340769230769</f>
        <v>185.32478461538426</v>
      </c>
      <c r="T34" s="23">
        <f>196*1.25839538461538</f>
        <v>246.64549538461446</v>
      </c>
      <c r="U34" s="23">
        <f>139*1.27458307692308</f>
        <v>177.1670476923081</v>
      </c>
      <c r="V34" s="23">
        <f>271*1.28997538461538</f>
        <v>349.58332923076802</v>
      </c>
      <c r="W34" s="22">
        <f>146*1.31110461538462</f>
        <v>191.42127384615452</v>
      </c>
      <c r="X34" s="23">
        <f>300*1.34827846153846</f>
        <v>404.48353846153799</v>
      </c>
      <c r="Y34" s="23">
        <f>204*1.37456923076923</f>
        <v>280.41212307692297</v>
      </c>
      <c r="Z34" s="23">
        <f>212*1.44840303030303</f>
        <v>307.06144242424233</v>
      </c>
      <c r="AA34" s="22">
        <f>84*1.49919384615385</f>
        <v>125.93228307692341</v>
      </c>
      <c r="AB34" s="23">
        <f>138*1.56319846153846</f>
        <v>215.72138769230747</v>
      </c>
      <c r="AC34" s="23">
        <f>85*1.50399242424242</f>
        <v>127.83935606060571</v>
      </c>
      <c r="AD34" s="23">
        <f>27*1.32013787878788</f>
        <v>35.64372272727276</v>
      </c>
      <c r="AE34" s="22">
        <f>90*1.3063203125</f>
        <v>117.568828125</v>
      </c>
      <c r="AF34" s="23">
        <f>208*1.36302923076923</f>
        <v>283.51007999999985</v>
      </c>
      <c r="AG34" s="23">
        <f>216*1.43024393939394</f>
        <v>308.93269090909104</v>
      </c>
      <c r="AH34" s="23">
        <f>149*1.47664393939394</f>
        <v>220.01994696969703</v>
      </c>
      <c r="AI34" s="22">
        <f>116*1.3848</f>
        <v>160.63679999999999</v>
      </c>
      <c r="AJ34" s="23">
        <f>135*1.2731</f>
        <v>171.86849999999998</v>
      </c>
      <c r="AK34" s="23">
        <f>120*1.2917</f>
        <v>155.00400000000002</v>
      </c>
      <c r="AL34" s="23">
        <f>334*1.3592</f>
        <v>453.97280000000001</v>
      </c>
      <c r="AM34" s="22">
        <f>181*1.3687</f>
        <v>247.7347</v>
      </c>
      <c r="AN34" s="23">
        <f>244*1.4394</f>
        <v>351.21359999999999</v>
      </c>
      <c r="AO34" s="23">
        <f>68*1.4136</f>
        <v>96.124799999999993</v>
      </c>
      <c r="AP34" s="23">
        <f>67*1.3482</f>
        <v>90.329400000000007</v>
      </c>
      <c r="AQ34" s="22">
        <f>138*1.3114</f>
        <v>180.97319999999999</v>
      </c>
      <c r="AR34" s="23">
        <f>89*1.2836</f>
        <v>114.24040000000001</v>
      </c>
      <c r="AS34" s="23">
        <f>140*1.2513</f>
        <v>175.18200000000002</v>
      </c>
      <c r="AT34" s="24">
        <f>150*1.2975</f>
        <v>194.62500000000003</v>
      </c>
      <c r="AU34" s="25">
        <f>152*1.3202</f>
        <v>200.6704</v>
      </c>
      <c r="AV34" s="24">
        <f>204*1.3057</f>
        <v>266.36279999999999</v>
      </c>
      <c r="AW34" s="24">
        <f>135*1.32442</f>
        <v>178.79669999999999</v>
      </c>
      <c r="AX34" s="23">
        <f>241*1.361378</f>
        <v>328.09209800000002</v>
      </c>
      <c r="AY34" s="25">
        <f>160.25*1.37026825396825</f>
        <v>219.58548769841207</v>
      </c>
      <c r="AZ34" s="24">
        <f>264.83*1.3713453125</f>
        <v>363.17337910937493</v>
      </c>
      <c r="BA34" s="26">
        <f>174.58*1.26871352448617</f>
        <v>221.49200710479559</v>
      </c>
      <c r="BB34" s="23">
        <f>161.43*1.24938230769231</f>
        <v>201.68778593076962</v>
      </c>
      <c r="BC34" s="25">
        <f>205.94*1.1254753968254</f>
        <v>231.7804032222229</v>
      </c>
      <c r="BD34" s="24">
        <f>252.65*1.10673095238095</f>
        <v>279.61557511904704</v>
      </c>
      <c r="BE34" s="24">
        <f>77*1.11170378787879</f>
        <v>85.601191666666836</v>
      </c>
      <c r="BF34" s="23"/>
      <c r="BG34" s="25"/>
      <c r="BH34" s="24"/>
      <c r="BI34" s="24"/>
      <c r="BJ34" s="23"/>
      <c r="BK34" s="24"/>
      <c r="BL34" s="29">
        <f t="shared" si="112"/>
        <v>785.40250000000003</v>
      </c>
      <c r="BM34" s="23">
        <f t="shared" si="113"/>
        <v>665.02060000000006</v>
      </c>
      <c r="BN34" s="23">
        <f t="shared" si="114"/>
        <v>973.92199800000003</v>
      </c>
      <c r="BO34" s="23">
        <f t="shared" si="115"/>
        <v>1005.9386598433521</v>
      </c>
      <c r="BP34" s="23">
        <f t="shared" si="116"/>
        <v>596.9971700079368</v>
      </c>
      <c r="BQ34" s="23"/>
      <c r="BR34" s="23">
        <f t="shared" si="117"/>
        <v>1132.3429719125827</v>
      </c>
      <c r="BS34" s="30">
        <f t="shared" si="118"/>
        <v>798.68495593870648</v>
      </c>
      <c r="BT34" s="31">
        <f t="shared" si="119"/>
        <v>196.35062500000001</v>
      </c>
      <c r="BU34" s="31">
        <f t="shared" si="120"/>
        <v>166.25515000000001</v>
      </c>
      <c r="BV34" s="31">
        <f t="shared" si="121"/>
        <v>243.48049950000001</v>
      </c>
      <c r="BW34" s="31">
        <f t="shared" si="122"/>
        <v>251.48466496083802</v>
      </c>
      <c r="BX34" s="31">
        <f t="shared" si="123"/>
        <v>198.99905666931227</v>
      </c>
      <c r="BY34" s="32">
        <f t="shared" si="124"/>
        <v>221.96190164475556</v>
      </c>
      <c r="BZ34" s="33"/>
      <c r="CA34" s="34">
        <f t="shared" si="125"/>
        <v>-0.69386114621754558</v>
      </c>
      <c r="CB34" s="34">
        <f t="shared" si="126"/>
        <v>-0.61352469199411819</v>
      </c>
      <c r="CC34" s="34">
        <f t="shared" si="127"/>
        <v>-0.61434286230044388</v>
      </c>
      <c r="CD34" s="34">
        <f t="shared" si="128"/>
        <v>-0.29466162130216744</v>
      </c>
      <c r="CE34" s="33"/>
      <c r="CF34" s="34">
        <f t="shared" si="129"/>
        <v>-0.1034539928036603</v>
      </c>
      <c r="CG34" s="33"/>
      <c r="CH34" s="34">
        <f t="shared" si="130"/>
        <v>-0.15327414924194915</v>
      </c>
      <c r="CI34" s="34">
        <f t="shared" si="130"/>
        <v>0.46449899145981344</v>
      </c>
      <c r="CJ34" s="34">
        <f t="shared" si="130"/>
        <v>3.2873948744457815E-2</v>
      </c>
      <c r="CK34" s="34">
        <f t="shared" si="130"/>
        <v>-0.40652726270516026</v>
      </c>
    </row>
    <row r="35" spans="2:89" s="8" customFormat="1" hidden="1" outlineLevel="1">
      <c r="B35" s="8" t="s">
        <v>75</v>
      </c>
      <c r="O35" s="22">
        <f>332/1.18179093006696</f>
        <v>280.92955492659684</v>
      </c>
      <c r="P35" s="23">
        <f>302/1.18179093006696</f>
        <v>255.5443541802176</v>
      </c>
      <c r="Q35" s="23">
        <f>300/1.18179093006696</f>
        <v>253.85200746379232</v>
      </c>
      <c r="R35" s="23">
        <f>407/1.18179093006696</f>
        <v>344.39255679254489</v>
      </c>
      <c r="S35" s="22">
        <f>420/1.18179093006696</f>
        <v>355.39281044930925</v>
      </c>
      <c r="T35" s="23">
        <f>583/1.18179093006696</f>
        <v>493.31906783796973</v>
      </c>
      <c r="U35" s="23">
        <f>387/1.18179093006696</f>
        <v>327.46908962829207</v>
      </c>
      <c r="V35" s="23">
        <f>705/1.18179093006696</f>
        <v>596.55221753991191</v>
      </c>
      <c r="W35" s="22">
        <f>546/1.18179093006696</f>
        <v>462.01065358410204</v>
      </c>
      <c r="X35" s="23">
        <f>874/1.18179093006696</f>
        <v>739.55551507784833</v>
      </c>
      <c r="Y35" s="23">
        <f>546/1.18179093006696</f>
        <v>462.01065358410204</v>
      </c>
      <c r="Z35" s="23">
        <f>817/1.18179093006696</f>
        <v>691.32363365972776</v>
      </c>
      <c r="AA35" s="22">
        <f>108/1.18179093006696</f>
        <v>91.386722686965228</v>
      </c>
      <c r="AB35" s="23">
        <f>438/1.18179093006696</f>
        <v>370.6239308971368</v>
      </c>
      <c r="AC35" s="23">
        <f>198/1.18179093006696</f>
        <v>167.54232492610294</v>
      </c>
      <c r="AD35" s="23">
        <f>233/1.18179093006696</f>
        <v>197.15839246354537</v>
      </c>
      <c r="AE35" s="22">
        <f>264/1.18179093006696</f>
        <v>223.38976656813725</v>
      </c>
      <c r="AF35" s="23">
        <f>440/1.18179093006696</f>
        <v>372.31627761356208</v>
      </c>
      <c r="AG35" s="23">
        <f>500/1.18179093006696</f>
        <v>423.08667910632056</v>
      </c>
      <c r="AH35" s="23">
        <f>405/1.18179093006696</f>
        <v>342.70021007611962</v>
      </c>
      <c r="AI35" s="22">
        <f>262/1.0572</f>
        <v>247.8244419220583</v>
      </c>
      <c r="AJ35" s="23">
        <f>208/1.1085</f>
        <v>187.64095624718087</v>
      </c>
      <c r="AK35" s="23">
        <f>90/1.0321</f>
        <v>87.200852630559055</v>
      </c>
      <c r="AL35" s="23">
        <f>461/0.9731</f>
        <v>473.74370568286918</v>
      </c>
      <c r="AM35" s="22">
        <f>176/0.9412</f>
        <v>186.99532511687207</v>
      </c>
      <c r="AN35" s="23">
        <f>159/0.8698</f>
        <v>182.80064382616692</v>
      </c>
      <c r="AO35" s="23">
        <f>120/0.8254</f>
        <v>145.38405621516839</v>
      </c>
      <c r="AP35" s="23">
        <f>119/0.9214</f>
        <v>129.15129151291512</v>
      </c>
      <c r="AQ35" s="22">
        <f>200/0.9215</f>
        <v>217.03743895822029</v>
      </c>
      <c r="AR35" s="23">
        <f>206/0.9364</f>
        <v>219.99145664246049</v>
      </c>
      <c r="AS35" s="23">
        <f>174/0.9623</f>
        <v>180.8167930998649</v>
      </c>
      <c r="AT35" s="24">
        <f>195/0.932972</f>
        <v>209.0094879589098</v>
      </c>
      <c r="AU35" s="25">
        <f>503/0.930375</f>
        <v>540.64221416095666</v>
      </c>
      <c r="AV35" s="24">
        <f>232/0.9429</f>
        <v>246.04942199596988</v>
      </c>
      <c r="AW35" s="24">
        <f>164/0.932202</f>
        <v>175.92753501923403</v>
      </c>
      <c r="AX35" s="24">
        <f>243/0.90304</f>
        <v>269.09107016300499</v>
      </c>
      <c r="AY35" s="25">
        <f>196/0.892953968253968</f>
        <v>219.49619685687426</v>
      </c>
      <c r="AZ35" s="24">
        <f>349/0.8890421875</f>
        <v>392.5572992001575</v>
      </c>
      <c r="BA35" s="26">
        <f>197/0.955109837631328</f>
        <v>206.25899999999993</v>
      </c>
      <c r="BB35" s="24">
        <f>278/0.964156153846154</f>
        <v>288.33503669609848</v>
      </c>
      <c r="BC35" s="25">
        <f>306/0.953146825396825</f>
        <v>321.04182886262311</v>
      </c>
      <c r="BD35" s="24">
        <f>337/0.941266666666666</f>
        <v>358.02818896522439</v>
      </c>
      <c r="BE35" s="24">
        <f>206/0.9862</f>
        <v>208.88257959845873</v>
      </c>
      <c r="BF35" s="24"/>
      <c r="BG35" s="25"/>
      <c r="BH35" s="24"/>
      <c r="BI35" s="24"/>
      <c r="BJ35" s="24"/>
      <c r="BK35" s="24"/>
      <c r="BL35" s="29">
        <f t="shared" si="112"/>
        <v>644.33131667112252</v>
      </c>
      <c r="BM35" s="23">
        <f t="shared" si="113"/>
        <v>826.85517665945554</v>
      </c>
      <c r="BN35" s="23">
        <f t="shared" si="114"/>
        <v>1231.7102413391656</v>
      </c>
      <c r="BO35" s="23">
        <f t="shared" si="115"/>
        <v>1106.6475327531302</v>
      </c>
      <c r="BP35" s="23">
        <f t="shared" si="116"/>
        <v>887.95259742630628</v>
      </c>
      <c r="BQ35" s="23"/>
      <c r="BR35" s="23">
        <f t="shared" si="117"/>
        <v>1087.4035662200367</v>
      </c>
      <c r="BS35" s="30">
        <f t="shared" si="118"/>
        <v>1176.2876341224048</v>
      </c>
      <c r="BT35" s="31">
        <f t="shared" si="119"/>
        <v>161.08282916778063</v>
      </c>
      <c r="BU35" s="31">
        <f t="shared" si="120"/>
        <v>206.71379416486388</v>
      </c>
      <c r="BV35" s="31">
        <f t="shared" si="121"/>
        <v>307.92756033479139</v>
      </c>
      <c r="BW35" s="31">
        <f t="shared" si="122"/>
        <v>276.66188318828256</v>
      </c>
      <c r="BX35" s="31">
        <f t="shared" si="123"/>
        <v>295.98419914210211</v>
      </c>
      <c r="BY35" s="32">
        <f t="shared" si="124"/>
        <v>249.31928371515403</v>
      </c>
      <c r="BZ35" s="33"/>
      <c r="CA35" s="34">
        <f t="shared" si="125"/>
        <v>-0.41657504622143682</v>
      </c>
      <c r="CB35" s="34">
        <f t="shared" si="126"/>
        <v>1.271983088475559E-2</v>
      </c>
      <c r="CC35" s="34">
        <f t="shared" si="127"/>
        <v>-0.16218843369891123</v>
      </c>
      <c r="CD35" s="34">
        <f t="shared" si="128"/>
        <v>8.1739724480894616E-2</v>
      </c>
      <c r="CE35" s="33"/>
      <c r="CF35" s="34">
        <f t="shared" si="129"/>
        <v>0.18716929846574759</v>
      </c>
      <c r="CG35" s="33"/>
      <c r="CH35" s="34">
        <f t="shared" si="130"/>
        <v>0.28327640650981456</v>
      </c>
      <c r="CI35" s="34">
        <f t="shared" si="130"/>
        <v>0.48963237590813513</v>
      </c>
      <c r="CJ35" s="34">
        <f t="shared" si="130"/>
        <v>-0.10153581937425649</v>
      </c>
      <c r="CK35" s="34">
        <f t="shared" si="130"/>
        <v>-0.19761932219082645</v>
      </c>
    </row>
    <row r="36" spans="2:89" s="8" customFormat="1" hidden="1" outlineLevel="1">
      <c r="B36" s="47" t="s">
        <v>76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7">
        <f t="shared" ref="O36:AH36" si="131">AVERAGE(O32:O35)</f>
        <v>188.77068390605132</v>
      </c>
      <c r="P36" s="38">
        <f t="shared" si="131"/>
        <v>202.47152020411804</v>
      </c>
      <c r="Q36" s="38">
        <f t="shared" si="131"/>
        <v>216.92540586933993</v>
      </c>
      <c r="R36" s="38">
        <f t="shared" si="131"/>
        <v>283.5441221127108</v>
      </c>
      <c r="S36" s="37">
        <f t="shared" si="131"/>
        <v>244.29654429971023</v>
      </c>
      <c r="T36" s="38">
        <f t="shared" si="131"/>
        <v>330.65887675438006</v>
      </c>
      <c r="U36" s="38">
        <f t="shared" si="131"/>
        <v>228.55951233366758</v>
      </c>
      <c r="V36" s="38">
        <f t="shared" si="131"/>
        <v>446.00284300518848</v>
      </c>
      <c r="W36" s="37">
        <f t="shared" si="131"/>
        <v>310.55811239487639</v>
      </c>
      <c r="X36" s="38">
        <f t="shared" si="131"/>
        <v>507.87309839752334</v>
      </c>
      <c r="Y36" s="38">
        <f t="shared" si="131"/>
        <v>330.88466866090158</v>
      </c>
      <c r="Z36" s="38">
        <f t="shared" si="131"/>
        <v>452.64478680839608</v>
      </c>
      <c r="AA36" s="37">
        <f t="shared" si="131"/>
        <v>129.62218117537114</v>
      </c>
      <c r="AB36" s="38">
        <f t="shared" si="131"/>
        <v>280.79721408762657</v>
      </c>
      <c r="AC36" s="38">
        <f t="shared" si="131"/>
        <v>160.05129792644956</v>
      </c>
      <c r="AD36" s="38">
        <f t="shared" si="131"/>
        <v>138.55473886896689</v>
      </c>
      <c r="AE36" s="37">
        <f t="shared" si="131"/>
        <v>135.17008778600996</v>
      </c>
      <c r="AF36" s="38">
        <f t="shared" si="131"/>
        <v>308.9548979167285</v>
      </c>
      <c r="AG36" s="38">
        <f t="shared" si="131"/>
        <v>354.18299579340646</v>
      </c>
      <c r="AH36" s="38">
        <f t="shared" si="131"/>
        <v>338.99486015593993</v>
      </c>
      <c r="AI36" s="37">
        <f>AVERAGE(AI32:AI35)</f>
        <v>205.20406891159038</v>
      </c>
      <c r="AJ36" s="38">
        <f t="shared" ref="AJ36:AL36" si="132">AVERAGE(AJ32:AJ35)</f>
        <v>184.1877107953691</v>
      </c>
      <c r="AK36" s="38">
        <f t="shared" si="132"/>
        <v>134.99325918031198</v>
      </c>
      <c r="AL36" s="38">
        <f t="shared" si="132"/>
        <v>409.60536144966255</v>
      </c>
      <c r="AM36" s="37">
        <f>AVERAGE(AM32:AM35)</f>
        <v>216.09572872928177</v>
      </c>
      <c r="AN36" s="38">
        <f t="shared" ref="AN36:AP36" si="133">AVERAGE(AN32:AN35)</f>
        <v>289.14140771058482</v>
      </c>
      <c r="AO36" s="38">
        <f t="shared" si="133"/>
        <v>125.73354733866408</v>
      </c>
      <c r="AP36" s="38">
        <f t="shared" si="133"/>
        <v>113.34728296667534</v>
      </c>
      <c r="AQ36" s="37">
        <f>AVERAGE(AQ32:AQ35)</f>
        <v>175.71597171278711</v>
      </c>
      <c r="AR36" s="38">
        <f t="shared" ref="AR36:AT36" si="134">AVERAGE(AR32:AR35)</f>
        <v>144.51612934643313</v>
      </c>
      <c r="AS36" s="38">
        <f t="shared" si="134"/>
        <v>178.59213640929715</v>
      </c>
      <c r="AT36" s="38">
        <f t="shared" si="134"/>
        <v>194.33716730746332</v>
      </c>
      <c r="AU36" s="37">
        <f>AVERAGE(AU32:AU35)</f>
        <v>303.35241337609415</v>
      </c>
      <c r="AV36" s="38">
        <f t="shared" ref="AV36:BE36" si="135">AVERAGE(AV32:AV35)</f>
        <v>243.98256588538905</v>
      </c>
      <c r="AW36" s="38">
        <f t="shared" si="135"/>
        <v>164.3687531720235</v>
      </c>
      <c r="AX36" s="38">
        <f t="shared" si="135"/>
        <v>299.8316744426474</v>
      </c>
      <c r="AY36" s="37">
        <f t="shared" si="135"/>
        <v>214.6731533973539</v>
      </c>
      <c r="AZ36" s="38">
        <f t="shared" si="135"/>
        <v>352.39289676759222</v>
      </c>
      <c r="BA36" s="39">
        <f t="shared" si="135"/>
        <v>217.26966903493181</v>
      </c>
      <c r="BB36" s="38">
        <f t="shared" si="135"/>
        <v>234.21466092682195</v>
      </c>
      <c r="BC36" s="37">
        <f t="shared" si="135"/>
        <v>237.78104883871916</v>
      </c>
      <c r="BD36" s="38">
        <f t="shared" si="135"/>
        <v>297.53977630865808</v>
      </c>
      <c r="BE36" s="39">
        <f t="shared" si="135"/>
        <v>137.70698817740379</v>
      </c>
      <c r="BF36" s="38"/>
      <c r="BG36" s="37"/>
      <c r="BH36" s="38"/>
      <c r="BI36" s="38"/>
      <c r="BJ36" s="38"/>
      <c r="BK36" s="23"/>
      <c r="BL36" s="42">
        <f t="shared" si="112"/>
        <v>744.31796674520604</v>
      </c>
      <c r="BM36" s="38">
        <f t="shared" si="113"/>
        <v>693.16140477598071</v>
      </c>
      <c r="BN36" s="38">
        <f t="shared" si="114"/>
        <v>1011.5354068761542</v>
      </c>
      <c r="BO36" s="38">
        <f t="shared" si="115"/>
        <v>1018.5503801266998</v>
      </c>
      <c r="BP36" s="38">
        <f t="shared" si="116"/>
        <v>673.02781332478105</v>
      </c>
      <c r="BQ36" s="23"/>
      <c r="BR36" s="38">
        <f t="shared" si="117"/>
        <v>1084.1673936425254</v>
      </c>
      <c r="BS36" s="43">
        <f t="shared" si="118"/>
        <v>907.24247425160297</v>
      </c>
      <c r="BT36" s="44">
        <f t="shared" si="119"/>
        <v>186.07949168630151</v>
      </c>
      <c r="BU36" s="44">
        <f t="shared" si="120"/>
        <v>173.29035119399518</v>
      </c>
      <c r="BV36" s="44">
        <f t="shared" si="121"/>
        <v>252.88385171903855</v>
      </c>
      <c r="BW36" s="44">
        <f t="shared" si="122"/>
        <v>254.63759503167495</v>
      </c>
      <c r="BX36" s="44">
        <f t="shared" si="123"/>
        <v>224.34260444159369</v>
      </c>
      <c r="BY36" s="45">
        <f t="shared" si="124"/>
        <v>224.40347200037971</v>
      </c>
      <c r="BZ36" s="33"/>
      <c r="CA36" s="46">
        <f t="shared" si="125"/>
        <v>-0.53718124720726057</v>
      </c>
      <c r="CB36" s="46">
        <f t="shared" si="126"/>
        <v>-0.36619322527129283</v>
      </c>
      <c r="CC36" s="46">
        <f t="shared" si="127"/>
        <v>-0.38634198949840326</v>
      </c>
      <c r="CD36" s="46">
        <f t="shared" si="128"/>
        <v>-0.16318967018229535</v>
      </c>
      <c r="CE36" s="33"/>
      <c r="CF36" s="46">
        <f t="shared" si="129"/>
        <v>-2.7124160889058224E-4</v>
      </c>
      <c r="CG36" s="33"/>
      <c r="CH36" s="46">
        <f t="shared" si="130"/>
        <v>-6.8729446627394331E-2</v>
      </c>
      <c r="CI36" s="46">
        <f t="shared" si="130"/>
        <v>0.4593071684409018</v>
      </c>
      <c r="CJ36" s="46">
        <f t="shared" si="130"/>
        <v>6.9349754866312452E-3</v>
      </c>
      <c r="CK36" s="46">
        <f t="shared" si="130"/>
        <v>-0.33922972642643201</v>
      </c>
    </row>
    <row r="37" spans="2:89" s="8" customFormat="1" hidden="1" outlineLevel="1">
      <c r="B37" s="36" t="s">
        <v>77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>
        <f t="shared" ref="O37:AH37" si="136">AVERAGE(O25:O29,O32:O35)</f>
        <v>210.03900646476924</v>
      </c>
      <c r="P37" s="38">
        <f t="shared" si="136"/>
        <v>188.05182007654426</v>
      </c>
      <c r="Q37" s="38">
        <f t="shared" si="136"/>
        <v>233.84702720100248</v>
      </c>
      <c r="R37" s="38">
        <f t="shared" si="136"/>
        <v>298.95404579226658</v>
      </c>
      <c r="S37" s="37">
        <f t="shared" si="136"/>
        <v>251.73620411239133</v>
      </c>
      <c r="T37" s="38">
        <f t="shared" si="136"/>
        <v>365.24707878289252</v>
      </c>
      <c r="U37" s="38">
        <f t="shared" si="136"/>
        <v>239.58481712512534</v>
      </c>
      <c r="V37" s="38">
        <f t="shared" si="136"/>
        <v>408.87606612694566</v>
      </c>
      <c r="W37" s="37">
        <f t="shared" si="136"/>
        <v>355.83429214807865</v>
      </c>
      <c r="X37" s="38">
        <f t="shared" si="136"/>
        <v>508.70241189907125</v>
      </c>
      <c r="Y37" s="38">
        <f t="shared" si="136"/>
        <v>354.70675074783804</v>
      </c>
      <c r="Z37" s="38">
        <f t="shared" si="136"/>
        <v>447.11679505314851</v>
      </c>
      <c r="AA37" s="37">
        <f t="shared" si="136"/>
        <v>213.48331794076415</v>
      </c>
      <c r="AB37" s="38">
        <f t="shared" si="136"/>
        <v>415.92395528285994</v>
      </c>
      <c r="AC37" s="38">
        <f t="shared" si="136"/>
        <v>226.51923672241861</v>
      </c>
      <c r="AD37" s="38">
        <f t="shared" si="136"/>
        <v>175.58302707586259</v>
      </c>
      <c r="AE37" s="37">
        <f t="shared" si="136"/>
        <v>152.06378291975375</v>
      </c>
      <c r="AF37" s="38">
        <f t="shared" si="136"/>
        <v>500.98308671877317</v>
      </c>
      <c r="AG37" s="38">
        <f t="shared" si="136"/>
        <v>403.06862342252742</v>
      </c>
      <c r="AH37" s="38">
        <f t="shared" si="136"/>
        <v>349.24807255847747</v>
      </c>
      <c r="AI37" s="37">
        <f>AVERAGE(AI25:AI29,AI32:AI35)</f>
        <v>275.32652584184638</v>
      </c>
      <c r="AJ37" s="38">
        <f t="shared" ref="AJ37:BE37" si="137">AVERAGE(AJ25:AJ29,AJ32:AJ35)</f>
        <v>230.44539154826342</v>
      </c>
      <c r="AK37" s="38">
        <f t="shared" si="137"/>
        <v>218.74747219261701</v>
      </c>
      <c r="AL37" s="38">
        <f t="shared" si="137"/>
        <v>472.10201054362346</v>
      </c>
      <c r="AM37" s="37">
        <f t="shared" si="137"/>
        <v>298.78589827348071</v>
      </c>
      <c r="AN37" s="38">
        <f t="shared" si="137"/>
        <v>351.6780278914693</v>
      </c>
      <c r="AO37" s="38">
        <f t="shared" si="137"/>
        <v>163.27508025199904</v>
      </c>
      <c r="AP37" s="38">
        <f t="shared" si="137"/>
        <v>155.75523111250325</v>
      </c>
      <c r="AQ37" s="37">
        <f t="shared" si="137"/>
        <v>211.26848939229515</v>
      </c>
      <c r="AR37" s="38">
        <f t="shared" si="137"/>
        <v>195.6935485049124</v>
      </c>
      <c r="AS37" s="38">
        <f t="shared" si="137"/>
        <v>197.59705115348646</v>
      </c>
      <c r="AT37" s="38">
        <f t="shared" si="137"/>
        <v>225.37643774029874</v>
      </c>
      <c r="AU37" s="37">
        <f t="shared" si="137"/>
        <v>300.50715501603531</v>
      </c>
      <c r="AV37" s="38">
        <f t="shared" si="137"/>
        <v>318.11846220702091</v>
      </c>
      <c r="AW37" s="38">
        <f t="shared" si="137"/>
        <v>233.0132824395088</v>
      </c>
      <c r="AX37" s="38">
        <f t="shared" si="137"/>
        <v>393.4368779159928</v>
      </c>
      <c r="AY37" s="37">
        <f t="shared" si="137"/>
        <v>295.1274325240077</v>
      </c>
      <c r="AZ37" s="38">
        <f t="shared" si="137"/>
        <v>434.89733628784705</v>
      </c>
      <c r="BA37" s="39">
        <f t="shared" si="137"/>
        <v>321.10112588809943</v>
      </c>
      <c r="BB37" s="38">
        <f t="shared" si="137"/>
        <v>289.58049784755826</v>
      </c>
      <c r="BC37" s="37">
        <f t="shared" si="137"/>
        <v>316.04289331451969</v>
      </c>
      <c r="BD37" s="38">
        <f t="shared" si="137"/>
        <v>392.70241611574676</v>
      </c>
      <c r="BE37" s="39">
        <f t="shared" si="137"/>
        <v>184.89012056652643</v>
      </c>
      <c r="BF37" s="38"/>
      <c r="BG37" s="37"/>
      <c r="BH37" s="38"/>
      <c r="BI37" s="38"/>
      <c r="BJ37" s="38"/>
      <c r="BK37" s="23"/>
      <c r="BL37" s="42">
        <f t="shared" si="112"/>
        <v>969.49423752945222</v>
      </c>
      <c r="BM37" s="38">
        <f t="shared" si="113"/>
        <v>829.93552679099275</v>
      </c>
      <c r="BN37" s="38">
        <f t="shared" si="114"/>
        <v>1245.0757775785578</v>
      </c>
      <c r="BO37" s="38">
        <f t="shared" si="115"/>
        <v>1340.7063925475125</v>
      </c>
      <c r="BP37" s="38">
        <f t="shared" si="116"/>
        <v>893.63542999679282</v>
      </c>
      <c r="BQ37" s="23"/>
      <c r="BR37" s="38">
        <f t="shared" si="117"/>
        <v>1444.5627726159471</v>
      </c>
      <c r="BS37" s="43">
        <f t="shared" si="118"/>
        <v>1183.215927844351</v>
      </c>
      <c r="BT37" s="44">
        <f t="shared" si="119"/>
        <v>242.37355938236306</v>
      </c>
      <c r="BU37" s="44">
        <f t="shared" si="120"/>
        <v>207.48388169774819</v>
      </c>
      <c r="BV37" s="44">
        <f t="shared" si="121"/>
        <v>311.26894439463945</v>
      </c>
      <c r="BW37" s="44">
        <f t="shared" si="122"/>
        <v>335.17659813687811</v>
      </c>
      <c r="BX37" s="44">
        <f t="shared" si="123"/>
        <v>297.87847666559759</v>
      </c>
      <c r="BY37" s="45">
        <f t="shared" si="124"/>
        <v>285.93539290923326</v>
      </c>
      <c r="BZ37" s="33"/>
      <c r="CA37" s="46">
        <f t="shared" si="125"/>
        <v>-0.52918517182733316</v>
      </c>
      <c r="CB37" s="46">
        <f t="shared" si="126"/>
        <v>-0.42419971261340639</v>
      </c>
      <c r="CC37" s="46">
        <f t="shared" si="127"/>
        <v>-0.35338497733571028</v>
      </c>
      <c r="CD37" s="46">
        <f t="shared" si="128"/>
        <v>-0.18091761031493647</v>
      </c>
      <c r="CE37" s="33"/>
      <c r="CF37" s="46">
        <f t="shared" si="129"/>
        <v>4.1768469565275357E-2</v>
      </c>
      <c r="CG37" s="33"/>
      <c r="CH37" s="46">
        <f t="shared" si="130"/>
        <v>-0.143950015725823</v>
      </c>
      <c r="CI37" s="46">
        <f t="shared" si="130"/>
        <v>0.50020783227913568</v>
      </c>
      <c r="CJ37" s="46">
        <f t="shared" si="130"/>
        <v>7.680706402861559E-2</v>
      </c>
      <c r="CK37" s="46">
        <f t="shared" si="130"/>
        <v>-0.33345926075673293</v>
      </c>
    </row>
    <row r="38" spans="2:89" s="8" customFormat="1" hidden="1" outlineLevel="1">
      <c r="O38" s="56"/>
      <c r="P38" s="57"/>
      <c r="Q38" s="57"/>
      <c r="R38" s="57"/>
      <c r="S38" s="56"/>
      <c r="T38" s="57"/>
      <c r="U38" s="57"/>
      <c r="V38" s="57"/>
      <c r="W38" s="56"/>
      <c r="X38" s="57"/>
      <c r="Y38" s="57"/>
      <c r="Z38" s="57"/>
      <c r="AA38" s="56"/>
      <c r="AB38" s="57"/>
      <c r="AC38" s="57"/>
      <c r="AD38" s="57"/>
      <c r="AE38" s="56"/>
      <c r="AF38" s="57"/>
      <c r="AG38" s="57"/>
      <c r="AH38" s="57"/>
      <c r="AI38" s="56"/>
      <c r="AJ38" s="57"/>
      <c r="AK38" s="57"/>
      <c r="AL38" s="57"/>
      <c r="AM38" s="56"/>
      <c r="AN38" s="57"/>
      <c r="AO38" s="57"/>
      <c r="AP38" s="57"/>
      <c r="AQ38" s="56"/>
      <c r="AR38" s="57"/>
      <c r="AS38" s="57"/>
      <c r="AT38" s="57"/>
      <c r="AU38" s="56"/>
      <c r="AV38" s="57"/>
      <c r="AW38" s="57"/>
      <c r="AX38" s="57"/>
      <c r="AY38" s="56"/>
      <c r="AZ38" s="57"/>
      <c r="BA38" s="58"/>
      <c r="BB38" s="57"/>
      <c r="BC38" s="56"/>
      <c r="BD38" s="57"/>
      <c r="BE38" s="57"/>
      <c r="BF38" s="57"/>
      <c r="BG38" s="56"/>
      <c r="BH38" s="57"/>
      <c r="BI38" s="57"/>
      <c r="BJ38" s="57"/>
      <c r="BK38" s="57"/>
      <c r="BL38" s="59"/>
      <c r="BM38" s="57"/>
      <c r="BN38" s="57"/>
      <c r="BO38" s="57"/>
      <c r="BP38" s="57"/>
      <c r="BQ38" s="57"/>
      <c r="BR38" s="57"/>
      <c r="BS38" s="60"/>
      <c r="BT38" s="33"/>
      <c r="BU38" s="33"/>
      <c r="BV38" s="33"/>
      <c r="BW38" s="33"/>
      <c r="BX38" s="33"/>
      <c r="BY38" s="61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</row>
    <row r="39" spans="2:89" collapsed="1">
      <c r="B39" s="14" t="s">
        <v>79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8"/>
      <c r="P39" s="49"/>
      <c r="Q39" s="49"/>
      <c r="R39" s="49"/>
      <c r="S39" s="48"/>
      <c r="T39" s="49"/>
      <c r="U39" s="49"/>
      <c r="V39" s="49"/>
      <c r="W39" s="48"/>
      <c r="X39" s="49"/>
      <c r="Y39" s="49"/>
      <c r="Z39" s="49"/>
      <c r="AA39" s="48"/>
      <c r="AB39" s="49"/>
      <c r="AC39" s="49"/>
      <c r="AD39" s="49"/>
      <c r="AE39" s="48"/>
      <c r="AF39" s="49"/>
      <c r="AG39" s="49"/>
      <c r="AH39" s="49"/>
      <c r="AI39" s="48"/>
      <c r="AJ39" s="49"/>
      <c r="AK39" s="49"/>
      <c r="AL39" s="49"/>
      <c r="AM39" s="48"/>
      <c r="AN39" s="49"/>
      <c r="AO39" s="49"/>
      <c r="AP39" s="49"/>
      <c r="AQ39" s="48"/>
      <c r="AR39" s="49"/>
      <c r="AS39" s="49"/>
      <c r="AT39" s="49"/>
      <c r="AU39" s="48"/>
      <c r="AV39" s="49"/>
      <c r="AW39" s="49"/>
      <c r="AX39" s="49"/>
      <c r="AY39" s="48"/>
      <c r="AZ39" s="49"/>
      <c r="BA39" s="50"/>
      <c r="BB39" s="49"/>
      <c r="BC39" s="48"/>
      <c r="BD39" s="49"/>
      <c r="BE39" s="49"/>
      <c r="BF39" s="49"/>
      <c r="BG39" s="48"/>
      <c r="BH39" s="49"/>
      <c r="BI39" s="49"/>
      <c r="BJ39" s="49"/>
      <c r="BK39" s="49"/>
      <c r="BL39" s="51"/>
      <c r="BM39" s="49"/>
      <c r="BN39" s="49"/>
      <c r="BO39" s="49"/>
      <c r="BP39" s="49"/>
      <c r="BQ39" s="49"/>
      <c r="BR39" s="49"/>
      <c r="BS39" s="52"/>
      <c r="BT39" s="53"/>
      <c r="BU39" s="53"/>
      <c r="BV39" s="53"/>
      <c r="BW39" s="53"/>
      <c r="BX39" s="53"/>
      <c r="BY39" s="54"/>
      <c r="BZ39" s="55"/>
      <c r="CA39" s="53"/>
      <c r="CB39" s="53"/>
      <c r="CC39" s="53"/>
      <c r="CD39" s="53"/>
      <c r="CE39" s="55"/>
      <c r="CF39" s="53"/>
      <c r="CG39" s="55"/>
      <c r="CH39" s="53"/>
      <c r="CI39" s="53"/>
      <c r="CJ39" s="53"/>
      <c r="CK39" s="53"/>
    </row>
    <row r="40" spans="2:89" s="8" customFormat="1">
      <c r="B40" s="8" t="s">
        <v>66</v>
      </c>
      <c r="C40" s="76">
        <f>SUM(O40:R40)</f>
        <v>1062</v>
      </c>
      <c r="D40" s="76">
        <f>SUM(S40:V40)</f>
        <v>1684</v>
      </c>
      <c r="E40" s="76">
        <f>SUM(W40:Z40)</f>
        <v>1951</v>
      </c>
      <c r="F40" s="76">
        <f>SUM(AA40:AD40)</f>
        <v>1176</v>
      </c>
      <c r="G40" s="76">
        <f>SUM(AE40:AH40)</f>
        <v>1490</v>
      </c>
      <c r="H40" s="76">
        <f>SUM(AI40:AL40)</f>
        <v>1286</v>
      </c>
      <c r="I40" s="76">
        <f>SUM(AM40:AP40)</f>
        <v>1283</v>
      </c>
      <c r="J40" s="76">
        <f>SUM(AQ40:AT40)</f>
        <v>1964</v>
      </c>
      <c r="K40" s="76">
        <f>SUM(AU40:AX40)</f>
        <v>2367</v>
      </c>
      <c r="L40" s="76">
        <f>SUM(AY40:BB40)</f>
        <v>2240</v>
      </c>
      <c r="M40" s="76">
        <f>SUM(BC40:BE40)</f>
        <v>1571</v>
      </c>
      <c r="O40" s="22">
        <v>293</v>
      </c>
      <c r="P40" s="23">
        <v>315</v>
      </c>
      <c r="Q40" s="23">
        <v>257</v>
      </c>
      <c r="R40" s="23">
        <v>197</v>
      </c>
      <c r="S40" s="22">
        <v>452</v>
      </c>
      <c r="T40" s="23">
        <v>436</v>
      </c>
      <c r="U40" s="23">
        <v>409</v>
      </c>
      <c r="V40" s="23">
        <v>387</v>
      </c>
      <c r="W40" s="22">
        <v>589</v>
      </c>
      <c r="X40" s="23">
        <v>654</v>
      </c>
      <c r="Y40" s="23">
        <v>378</v>
      </c>
      <c r="Z40" s="23">
        <v>330</v>
      </c>
      <c r="AA40" s="22">
        <v>337</v>
      </c>
      <c r="AB40" s="23">
        <v>269</v>
      </c>
      <c r="AC40" s="23">
        <v>383</v>
      </c>
      <c r="AD40" s="23">
        <v>187</v>
      </c>
      <c r="AE40" s="22">
        <v>248</v>
      </c>
      <c r="AF40" s="23">
        <v>336</v>
      </c>
      <c r="AG40" s="23">
        <v>211</v>
      </c>
      <c r="AH40" s="23">
        <v>695</v>
      </c>
      <c r="AI40" s="22">
        <v>367</v>
      </c>
      <c r="AJ40" s="23">
        <v>245</v>
      </c>
      <c r="AK40" s="23">
        <v>350</v>
      </c>
      <c r="AL40" s="23">
        <v>324</v>
      </c>
      <c r="AM40" s="22">
        <v>486</v>
      </c>
      <c r="AN40" s="23">
        <v>433</v>
      </c>
      <c r="AO40" s="23">
        <v>168</v>
      </c>
      <c r="AP40" s="23">
        <v>196</v>
      </c>
      <c r="AQ40" s="22">
        <v>410</v>
      </c>
      <c r="AR40" s="23">
        <v>495</v>
      </c>
      <c r="AS40" s="23">
        <v>466</v>
      </c>
      <c r="AT40" s="23">
        <v>593</v>
      </c>
      <c r="AU40" s="22">
        <v>694</v>
      </c>
      <c r="AV40" s="24">
        <v>695</v>
      </c>
      <c r="AW40" s="24">
        <v>467</v>
      </c>
      <c r="AX40" s="24">
        <v>511</v>
      </c>
      <c r="AY40" s="25">
        <v>660</v>
      </c>
      <c r="AZ40" s="24">
        <v>730</v>
      </c>
      <c r="BA40" s="26">
        <v>444</v>
      </c>
      <c r="BB40" s="24">
        <v>406</v>
      </c>
      <c r="BC40" s="25">
        <v>411</v>
      </c>
      <c r="BD40" s="24">
        <v>603</v>
      </c>
      <c r="BE40" s="24">
        <v>557</v>
      </c>
      <c r="BF40" s="27"/>
      <c r="BG40" s="28"/>
      <c r="BH40" s="27"/>
      <c r="BI40" s="27"/>
      <c r="BJ40" s="27"/>
      <c r="BK40" s="23"/>
      <c r="BL40" s="29">
        <f t="shared" ref="BL40:BL45" si="138">SUM(AM40:AP40)</f>
        <v>1283</v>
      </c>
      <c r="BM40" s="23">
        <f t="shared" ref="BM40:BM45" si="139">SUM(AQ40:AT40)</f>
        <v>1964</v>
      </c>
      <c r="BN40" s="23">
        <f t="shared" ref="BN40:BN45" si="140">SUM(AU40:AX40)</f>
        <v>2367</v>
      </c>
      <c r="BO40" s="23">
        <f t="shared" ref="BO40:BO45" si="141">SUM(AY40:BB40)</f>
        <v>2240</v>
      </c>
      <c r="BP40" s="23">
        <f t="shared" ref="BP40:BP45" si="142">SUM(BC40:BF40)</f>
        <v>1571</v>
      </c>
      <c r="BQ40" s="23"/>
      <c r="BR40" s="23">
        <f t="shared" ref="BR40:BR45" si="143">SUM(AX40:BA40)</f>
        <v>2345</v>
      </c>
      <c r="BS40" s="30">
        <f t="shared" ref="BS40:BS45" si="144">SUM(BB40:BE40)</f>
        <v>1977</v>
      </c>
      <c r="BT40" s="31">
        <f t="shared" ref="BT40:BT45" si="145">AVERAGE(AM40:AP40)</f>
        <v>320.75</v>
      </c>
      <c r="BU40" s="31">
        <f t="shared" ref="BU40:BU45" si="146">AVERAGE(AQ40:AT40)</f>
        <v>491</v>
      </c>
      <c r="BV40" s="31">
        <f t="shared" ref="BV40:BV45" si="147">AVERAGE(AU40:AX40)</f>
        <v>591.75</v>
      </c>
      <c r="BW40" s="31">
        <f t="shared" ref="BW40:BW45" si="148">AVERAGE(AY40:BB40)</f>
        <v>560</v>
      </c>
      <c r="BX40" s="31">
        <f t="shared" ref="BX40:BX45" si="149">AVERAGE(BC40:BF40)</f>
        <v>523.66666666666663</v>
      </c>
      <c r="BY40" s="32">
        <f t="shared" ref="BY40:BY45" si="150">AVERAGE(AI40:BD40)</f>
        <v>461.54545454545456</v>
      </c>
      <c r="BZ40" s="33"/>
      <c r="CA40" s="34">
        <f t="shared" ref="CA40:CA45" si="151">BE40/BD40-1</f>
        <v>-7.6285240464344928E-2</v>
      </c>
      <c r="CB40" s="34">
        <f t="shared" ref="CB40:CB45" si="152">BE40/BA40-1</f>
        <v>0.25450450450450446</v>
      </c>
      <c r="CC40" s="34">
        <f t="shared" ref="CC40:CC45" si="153">BE40/BY40-1</f>
        <v>0.20681504825684449</v>
      </c>
      <c r="CD40" s="34">
        <f t="shared" ref="CD40:CD45" si="154">BS40/BR40-1</f>
        <v>-0.15692963752665245</v>
      </c>
      <c r="CE40" s="33"/>
      <c r="CF40" s="34">
        <f t="shared" ref="CF40:CF45" si="155">BX40/BY40-1</f>
        <v>0.13459392029413686</v>
      </c>
      <c r="CG40" s="33"/>
      <c r="CH40" s="34">
        <f t="shared" ref="CH40:CK45" si="156">BM40/BL40-1</f>
        <v>0.5307872174590802</v>
      </c>
      <c r="CI40" s="34">
        <f t="shared" si="156"/>
        <v>0.20519348268839099</v>
      </c>
      <c r="CJ40" s="34">
        <f t="shared" si="156"/>
        <v>-5.3654414871144862E-2</v>
      </c>
      <c r="CK40" s="34">
        <f t="shared" si="156"/>
        <v>-0.29866071428571428</v>
      </c>
    </row>
    <row r="41" spans="2:89" s="8" customFormat="1">
      <c r="B41" s="8" t="s">
        <v>67</v>
      </c>
      <c r="C41" s="76">
        <f t="shared" ref="C41:C45" si="157">SUM(O41:R41)</f>
        <v>1094</v>
      </c>
      <c r="D41" s="76">
        <f t="shared" ref="D41:D45" si="158">SUM(S41:V41)</f>
        <v>1416</v>
      </c>
      <c r="E41" s="76">
        <f t="shared" ref="E41:E45" si="159">SUM(W41:Z41)</f>
        <v>1427</v>
      </c>
      <c r="F41" s="76">
        <f t="shared" ref="F41:F45" si="160">SUM(AA41:AD41)</f>
        <v>857</v>
      </c>
      <c r="G41" s="76">
        <f t="shared" ref="G41:G45" si="161">SUM(AE41:AH41)</f>
        <v>1366</v>
      </c>
      <c r="H41" s="76">
        <f t="shared" ref="H41:H45" si="162">SUM(AI41:AL41)</f>
        <v>1371</v>
      </c>
      <c r="I41" s="76">
        <f t="shared" ref="I41:I45" si="163">SUM(AM41:AP41)</f>
        <v>1359</v>
      </c>
      <c r="J41" s="76">
        <f t="shared" ref="J41:J45" si="164">SUM(AQ41:AT41)</f>
        <v>1669</v>
      </c>
      <c r="K41" s="76">
        <f t="shared" ref="K41:K45" si="165">SUM(AU41:AX41)</f>
        <v>1805</v>
      </c>
      <c r="L41" s="76">
        <f t="shared" ref="L41:L45" si="166">SUM(AY41:BB41)</f>
        <v>1956</v>
      </c>
      <c r="M41" s="76">
        <f t="shared" ref="M41:M45" si="167">SUM(BC41:BE41)</f>
        <v>1297</v>
      </c>
      <c r="O41" s="22">
        <v>286</v>
      </c>
      <c r="P41" s="23">
        <v>233</v>
      </c>
      <c r="Q41" s="23">
        <v>310</v>
      </c>
      <c r="R41" s="23">
        <v>265</v>
      </c>
      <c r="S41" s="22">
        <v>351</v>
      </c>
      <c r="T41" s="23">
        <v>299</v>
      </c>
      <c r="U41" s="23">
        <v>311</v>
      </c>
      <c r="V41" s="23">
        <v>455</v>
      </c>
      <c r="W41" s="22">
        <v>359</v>
      </c>
      <c r="X41" s="23">
        <v>486</v>
      </c>
      <c r="Y41" s="23">
        <v>346</v>
      </c>
      <c r="Z41" s="23">
        <v>236</v>
      </c>
      <c r="AA41" s="22">
        <v>250</v>
      </c>
      <c r="AB41" s="23">
        <v>256</v>
      </c>
      <c r="AC41" s="23">
        <v>243</v>
      </c>
      <c r="AD41" s="23">
        <v>108</v>
      </c>
      <c r="AE41" s="22">
        <v>245</v>
      </c>
      <c r="AF41" s="23">
        <v>401</v>
      </c>
      <c r="AG41" s="23">
        <v>302</v>
      </c>
      <c r="AH41" s="23">
        <v>418</v>
      </c>
      <c r="AI41" s="22">
        <v>296</v>
      </c>
      <c r="AJ41" s="23">
        <v>328</v>
      </c>
      <c r="AK41" s="23">
        <v>377</v>
      </c>
      <c r="AL41" s="23">
        <v>370</v>
      </c>
      <c r="AM41" s="22">
        <v>338</v>
      </c>
      <c r="AN41" s="23">
        <v>521</v>
      </c>
      <c r="AO41" s="23">
        <v>212</v>
      </c>
      <c r="AP41" s="23">
        <v>288</v>
      </c>
      <c r="AQ41" s="22">
        <v>366</v>
      </c>
      <c r="AR41" s="23">
        <v>338</v>
      </c>
      <c r="AS41" s="23">
        <v>431</v>
      </c>
      <c r="AT41" s="24">
        <v>534</v>
      </c>
      <c r="AU41" s="25">
        <v>411</v>
      </c>
      <c r="AV41" s="24">
        <v>418</v>
      </c>
      <c r="AW41" s="24">
        <v>481</v>
      </c>
      <c r="AX41" s="24">
        <v>495</v>
      </c>
      <c r="AY41" s="25">
        <v>485</v>
      </c>
      <c r="AZ41" s="24">
        <v>525</v>
      </c>
      <c r="BA41" s="24">
        <v>484</v>
      </c>
      <c r="BB41" s="24">
        <v>462</v>
      </c>
      <c r="BC41" s="25">
        <v>395</v>
      </c>
      <c r="BD41" s="24">
        <v>528</v>
      </c>
      <c r="BE41" s="24">
        <v>374</v>
      </c>
      <c r="BF41" s="27"/>
      <c r="BG41" s="28"/>
      <c r="BH41" s="27"/>
      <c r="BI41" s="27"/>
      <c r="BJ41" s="27"/>
      <c r="BK41" s="24"/>
      <c r="BL41" s="29">
        <f t="shared" si="138"/>
        <v>1359</v>
      </c>
      <c r="BM41" s="23">
        <f t="shared" si="139"/>
        <v>1669</v>
      </c>
      <c r="BN41" s="23">
        <f t="shared" si="140"/>
        <v>1805</v>
      </c>
      <c r="BO41" s="23">
        <f t="shared" si="141"/>
        <v>1956</v>
      </c>
      <c r="BP41" s="23">
        <f t="shared" si="142"/>
        <v>1297</v>
      </c>
      <c r="BQ41" s="23"/>
      <c r="BR41" s="23">
        <f t="shared" si="143"/>
        <v>1989</v>
      </c>
      <c r="BS41" s="30">
        <f t="shared" si="144"/>
        <v>1759</v>
      </c>
      <c r="BT41" s="31">
        <f t="shared" si="145"/>
        <v>339.75</v>
      </c>
      <c r="BU41" s="31">
        <f t="shared" si="146"/>
        <v>417.25</v>
      </c>
      <c r="BV41" s="31">
        <f t="shared" si="147"/>
        <v>451.25</v>
      </c>
      <c r="BW41" s="31">
        <f t="shared" si="148"/>
        <v>489</v>
      </c>
      <c r="BX41" s="31">
        <f t="shared" si="149"/>
        <v>432.33333333333331</v>
      </c>
      <c r="BY41" s="32">
        <f t="shared" si="150"/>
        <v>412.86363636363637</v>
      </c>
      <c r="BZ41" s="33"/>
      <c r="CA41" s="34">
        <f t="shared" si="151"/>
        <v>-0.29166666666666663</v>
      </c>
      <c r="CB41" s="34">
        <f t="shared" si="152"/>
        <v>-0.22727272727272729</v>
      </c>
      <c r="CC41" s="34">
        <f t="shared" si="153"/>
        <v>-9.41318947484312E-2</v>
      </c>
      <c r="CD41" s="34">
        <f t="shared" si="154"/>
        <v>-0.1156359979889392</v>
      </c>
      <c r="CE41" s="33"/>
      <c r="CF41" s="34">
        <f t="shared" si="155"/>
        <v>4.7157693860325089E-2</v>
      </c>
      <c r="CG41" s="33"/>
      <c r="CH41" s="34">
        <f t="shared" si="156"/>
        <v>0.22810890360559233</v>
      </c>
      <c r="CI41" s="34">
        <f t="shared" si="156"/>
        <v>8.148591971240271E-2</v>
      </c>
      <c r="CJ41" s="34">
        <f t="shared" si="156"/>
        <v>8.3656509695290815E-2</v>
      </c>
      <c r="CK41" s="34">
        <f t="shared" si="156"/>
        <v>-0.33691206543967278</v>
      </c>
    </row>
    <row r="42" spans="2:89" s="8" customFormat="1">
      <c r="B42" s="8" t="s">
        <v>68</v>
      </c>
      <c r="C42" s="76">
        <f t="shared" si="157"/>
        <v>2739</v>
      </c>
      <c r="D42" s="76">
        <f t="shared" si="158"/>
        <v>3482</v>
      </c>
      <c r="E42" s="76">
        <f t="shared" si="159"/>
        <v>3337</v>
      </c>
      <c r="F42" s="76">
        <f t="shared" si="160"/>
        <v>2346</v>
      </c>
      <c r="G42" s="76">
        <f t="shared" si="161"/>
        <v>3310</v>
      </c>
      <c r="H42" s="76">
        <f t="shared" si="162"/>
        <v>3059</v>
      </c>
      <c r="I42" s="76">
        <f t="shared" si="163"/>
        <v>2886</v>
      </c>
      <c r="J42" s="76">
        <f t="shared" si="164"/>
        <v>3364</v>
      </c>
      <c r="K42" s="76">
        <f t="shared" si="165"/>
        <v>3803</v>
      </c>
      <c r="L42" s="76">
        <f t="shared" si="166"/>
        <v>3583</v>
      </c>
      <c r="M42" s="76">
        <f t="shared" si="167"/>
        <v>2416</v>
      </c>
      <c r="O42" s="22">
        <v>618</v>
      </c>
      <c r="P42" s="23">
        <v>685</v>
      </c>
      <c r="Q42" s="23">
        <v>744</v>
      </c>
      <c r="R42" s="23">
        <v>692</v>
      </c>
      <c r="S42" s="22">
        <v>775</v>
      </c>
      <c r="T42" s="23">
        <v>843</v>
      </c>
      <c r="U42" s="23">
        <v>783</v>
      </c>
      <c r="V42" s="23">
        <v>1081</v>
      </c>
      <c r="W42" s="22">
        <v>1094</v>
      </c>
      <c r="X42" s="23">
        <v>1090</v>
      </c>
      <c r="Y42" s="23">
        <v>557</v>
      </c>
      <c r="Z42" s="23">
        <v>596</v>
      </c>
      <c r="AA42" s="22">
        <v>590</v>
      </c>
      <c r="AB42" s="23">
        <v>863</v>
      </c>
      <c r="AC42" s="23">
        <v>514</v>
      </c>
      <c r="AD42" s="23">
        <v>379</v>
      </c>
      <c r="AE42" s="22">
        <v>655</v>
      </c>
      <c r="AF42" s="23">
        <v>944</v>
      </c>
      <c r="AG42" s="23">
        <v>724</v>
      </c>
      <c r="AH42" s="23">
        <v>987</v>
      </c>
      <c r="AI42" s="22">
        <v>735</v>
      </c>
      <c r="AJ42" s="23">
        <v>773</v>
      </c>
      <c r="AK42" s="23">
        <v>743</v>
      </c>
      <c r="AL42" s="23">
        <v>808</v>
      </c>
      <c r="AM42" s="22">
        <v>845</v>
      </c>
      <c r="AN42" s="23">
        <v>939</v>
      </c>
      <c r="AO42" s="23">
        <v>515</v>
      </c>
      <c r="AP42" s="23">
        <v>587</v>
      </c>
      <c r="AQ42" s="22">
        <v>775</v>
      </c>
      <c r="AR42" s="23">
        <v>646</v>
      </c>
      <c r="AS42" s="23">
        <v>865</v>
      </c>
      <c r="AT42" s="23">
        <v>1078</v>
      </c>
      <c r="AU42" s="22">
        <v>1022</v>
      </c>
      <c r="AV42" s="24">
        <v>987</v>
      </c>
      <c r="AW42" s="24">
        <v>808</v>
      </c>
      <c r="AX42" s="24">
        <v>986</v>
      </c>
      <c r="AY42" s="25">
        <v>1025</v>
      </c>
      <c r="AZ42" s="24">
        <v>891</v>
      </c>
      <c r="BA42" s="26">
        <v>784</v>
      </c>
      <c r="BB42" s="24">
        <v>883</v>
      </c>
      <c r="BC42" s="25">
        <v>781</v>
      </c>
      <c r="BD42" s="24">
        <v>887</v>
      </c>
      <c r="BE42" s="24">
        <v>748</v>
      </c>
      <c r="BF42" s="27"/>
      <c r="BG42" s="28"/>
      <c r="BH42" s="27"/>
      <c r="BI42" s="27"/>
      <c r="BJ42" s="27"/>
      <c r="BK42" s="23"/>
      <c r="BL42" s="29">
        <f t="shared" si="138"/>
        <v>2886</v>
      </c>
      <c r="BM42" s="23">
        <f t="shared" si="139"/>
        <v>3364</v>
      </c>
      <c r="BN42" s="23">
        <f t="shared" si="140"/>
        <v>3803</v>
      </c>
      <c r="BO42" s="23">
        <f t="shared" si="141"/>
        <v>3583</v>
      </c>
      <c r="BP42" s="23">
        <f t="shared" si="142"/>
        <v>2416</v>
      </c>
      <c r="BQ42" s="23"/>
      <c r="BR42" s="23">
        <f t="shared" si="143"/>
        <v>3686</v>
      </c>
      <c r="BS42" s="30">
        <f t="shared" si="144"/>
        <v>3299</v>
      </c>
      <c r="BT42" s="31">
        <f t="shared" si="145"/>
        <v>721.5</v>
      </c>
      <c r="BU42" s="31">
        <f t="shared" si="146"/>
        <v>841</v>
      </c>
      <c r="BV42" s="31">
        <f t="shared" si="147"/>
        <v>950.75</v>
      </c>
      <c r="BW42" s="31">
        <f t="shared" si="148"/>
        <v>895.75</v>
      </c>
      <c r="BX42" s="31">
        <f t="shared" si="149"/>
        <v>805.33333333333337</v>
      </c>
      <c r="BY42" s="32">
        <f t="shared" si="150"/>
        <v>834.68181818181813</v>
      </c>
      <c r="BZ42" s="33"/>
      <c r="CA42" s="34">
        <f t="shared" si="151"/>
        <v>-0.15670800450958289</v>
      </c>
      <c r="CB42" s="34">
        <f t="shared" si="152"/>
        <v>-4.5918367346938771E-2</v>
      </c>
      <c r="CC42" s="34">
        <f t="shared" si="153"/>
        <v>-0.10385013342046501</v>
      </c>
      <c r="CD42" s="34">
        <f t="shared" si="154"/>
        <v>-0.10499186109603909</v>
      </c>
      <c r="CE42" s="33"/>
      <c r="CF42" s="34">
        <f t="shared" si="155"/>
        <v>-3.5161284466953324E-2</v>
      </c>
      <c r="CG42" s="33"/>
      <c r="CH42" s="34">
        <f t="shared" si="156"/>
        <v>0.16562716562716573</v>
      </c>
      <c r="CI42" s="34">
        <f t="shared" si="156"/>
        <v>0.13049940546967886</v>
      </c>
      <c r="CJ42" s="34">
        <f t="shared" si="156"/>
        <v>-5.7849066526426518E-2</v>
      </c>
      <c r="CK42" s="34">
        <f t="shared" si="156"/>
        <v>-0.32570471671783419</v>
      </c>
    </row>
    <row r="43" spans="2:89" s="8" customFormat="1">
      <c r="B43" s="8" t="s">
        <v>69</v>
      </c>
      <c r="C43" s="76">
        <f t="shared" si="157"/>
        <v>2151</v>
      </c>
      <c r="D43" s="76">
        <f t="shared" si="158"/>
        <v>2689</v>
      </c>
      <c r="E43" s="76">
        <f t="shared" si="159"/>
        <v>1718</v>
      </c>
      <c r="F43" s="76">
        <f t="shared" si="160"/>
        <v>1578</v>
      </c>
      <c r="G43" s="76">
        <f t="shared" si="161"/>
        <v>2643</v>
      </c>
      <c r="H43" s="76">
        <f t="shared" si="162"/>
        <v>2171</v>
      </c>
      <c r="I43" s="76">
        <f t="shared" si="163"/>
        <v>1954</v>
      </c>
      <c r="J43" s="76">
        <f t="shared" si="164"/>
        <v>2324</v>
      </c>
      <c r="K43" s="76">
        <f t="shared" si="165"/>
        <v>2421</v>
      </c>
      <c r="L43" s="76">
        <f t="shared" si="166"/>
        <v>2512</v>
      </c>
      <c r="M43" s="76">
        <f t="shared" si="167"/>
        <v>1923</v>
      </c>
      <c r="O43" s="22">
        <v>500</v>
      </c>
      <c r="P43" s="23">
        <v>514</v>
      </c>
      <c r="Q43" s="23">
        <v>568</v>
      </c>
      <c r="R43" s="23">
        <v>569</v>
      </c>
      <c r="S43" s="22">
        <v>713</v>
      </c>
      <c r="T43" s="23">
        <v>670</v>
      </c>
      <c r="U43" s="23">
        <v>639</v>
      </c>
      <c r="V43" s="23">
        <v>667</v>
      </c>
      <c r="W43" s="22">
        <v>813</v>
      </c>
      <c r="X43" s="23">
        <v>712</v>
      </c>
      <c r="Y43" s="23">
        <v>-206</v>
      </c>
      <c r="Z43" s="23">
        <v>399</v>
      </c>
      <c r="AA43" s="22">
        <v>388</v>
      </c>
      <c r="AB43" s="23">
        <v>657</v>
      </c>
      <c r="AC43" s="23">
        <v>306</v>
      </c>
      <c r="AD43" s="23">
        <v>227</v>
      </c>
      <c r="AE43" s="22">
        <v>613</v>
      </c>
      <c r="AF43" s="23">
        <v>752</v>
      </c>
      <c r="AG43" s="23">
        <v>720</v>
      </c>
      <c r="AH43" s="23">
        <v>558</v>
      </c>
      <c r="AI43" s="22">
        <v>635</v>
      </c>
      <c r="AJ43" s="23">
        <v>429</v>
      </c>
      <c r="AK43" s="23">
        <v>541</v>
      </c>
      <c r="AL43" s="23">
        <v>566</v>
      </c>
      <c r="AM43" s="22">
        <v>504</v>
      </c>
      <c r="AN43" s="23">
        <v>615</v>
      </c>
      <c r="AO43" s="23">
        <v>446</v>
      </c>
      <c r="AP43" s="23">
        <v>389</v>
      </c>
      <c r="AQ43" s="22">
        <v>606</v>
      </c>
      <c r="AR43" s="23">
        <v>490</v>
      </c>
      <c r="AS43" s="23">
        <v>594</v>
      </c>
      <c r="AT43" s="23">
        <v>634</v>
      </c>
      <c r="AU43" s="22">
        <v>634</v>
      </c>
      <c r="AV43" s="24">
        <v>639</v>
      </c>
      <c r="AW43" s="24">
        <v>578</v>
      </c>
      <c r="AX43" s="24">
        <v>570</v>
      </c>
      <c r="AY43" s="25">
        <v>579</v>
      </c>
      <c r="AZ43" s="24">
        <v>749</v>
      </c>
      <c r="BA43" s="24">
        <v>633</v>
      </c>
      <c r="BB43" s="24">
        <v>551</v>
      </c>
      <c r="BC43" s="25">
        <v>669</v>
      </c>
      <c r="BD43" s="24">
        <v>729</v>
      </c>
      <c r="BE43" s="24">
        <v>525</v>
      </c>
      <c r="BF43" s="27"/>
      <c r="BG43" s="28"/>
      <c r="BH43" s="27"/>
      <c r="BI43" s="27"/>
      <c r="BJ43" s="27"/>
      <c r="BK43" s="23"/>
      <c r="BL43" s="29">
        <f t="shared" si="138"/>
        <v>1954</v>
      </c>
      <c r="BM43" s="23">
        <f t="shared" si="139"/>
        <v>2324</v>
      </c>
      <c r="BN43" s="23">
        <f t="shared" si="140"/>
        <v>2421</v>
      </c>
      <c r="BO43" s="23">
        <f t="shared" si="141"/>
        <v>2512</v>
      </c>
      <c r="BP43" s="23">
        <f t="shared" si="142"/>
        <v>1923</v>
      </c>
      <c r="BQ43" s="23"/>
      <c r="BR43" s="23">
        <f t="shared" si="143"/>
        <v>2531</v>
      </c>
      <c r="BS43" s="30">
        <f t="shared" si="144"/>
        <v>2474</v>
      </c>
      <c r="BT43" s="31">
        <f t="shared" si="145"/>
        <v>488.5</v>
      </c>
      <c r="BU43" s="31">
        <f t="shared" si="146"/>
        <v>581</v>
      </c>
      <c r="BV43" s="31">
        <f t="shared" si="147"/>
        <v>605.25</v>
      </c>
      <c r="BW43" s="31">
        <f t="shared" si="148"/>
        <v>628</v>
      </c>
      <c r="BX43" s="31">
        <f t="shared" si="149"/>
        <v>641</v>
      </c>
      <c r="BY43" s="32">
        <f t="shared" si="150"/>
        <v>580.90909090909088</v>
      </c>
      <c r="BZ43" s="33"/>
      <c r="CA43" s="34">
        <f t="shared" si="151"/>
        <v>-0.27983539094650201</v>
      </c>
      <c r="CB43" s="34">
        <f t="shared" si="152"/>
        <v>-0.17061611374407581</v>
      </c>
      <c r="CC43" s="34">
        <f t="shared" si="153"/>
        <v>-9.6244131455399007E-2</v>
      </c>
      <c r="CD43" s="34">
        <f t="shared" si="154"/>
        <v>-2.2520742789411297E-2</v>
      </c>
      <c r="CE43" s="33"/>
      <c r="CF43" s="34">
        <f t="shared" si="155"/>
        <v>0.10344287949921749</v>
      </c>
      <c r="CG43" s="33"/>
      <c r="CH43" s="34">
        <f t="shared" si="156"/>
        <v>0.18935516888433979</v>
      </c>
      <c r="CI43" s="34">
        <f t="shared" si="156"/>
        <v>4.1738382099827831E-2</v>
      </c>
      <c r="CJ43" s="34">
        <f t="shared" si="156"/>
        <v>3.7587773647253186E-2</v>
      </c>
      <c r="CK43" s="34">
        <f t="shared" si="156"/>
        <v>-0.23447452229299359</v>
      </c>
    </row>
    <row r="44" spans="2:89" s="8" customFormat="1">
      <c r="B44" s="8" t="s">
        <v>70</v>
      </c>
      <c r="C44" s="76">
        <f t="shared" si="157"/>
        <v>1969</v>
      </c>
      <c r="D44" s="76">
        <f t="shared" si="158"/>
        <v>2700</v>
      </c>
      <c r="E44" s="76">
        <f t="shared" si="159"/>
        <v>2630</v>
      </c>
      <c r="F44" s="76">
        <f t="shared" si="160"/>
        <v>2150</v>
      </c>
      <c r="G44" s="76">
        <f t="shared" si="161"/>
        <v>2885</v>
      </c>
      <c r="H44" s="76">
        <f t="shared" si="162"/>
        <v>3128</v>
      </c>
      <c r="I44" s="76">
        <f t="shared" si="163"/>
        <v>2886</v>
      </c>
      <c r="J44" s="76">
        <f t="shared" si="164"/>
        <v>3252</v>
      </c>
      <c r="K44" s="76">
        <f t="shared" si="165"/>
        <v>3517</v>
      </c>
      <c r="L44" s="76">
        <f t="shared" si="166"/>
        <v>3372</v>
      </c>
      <c r="M44" s="76">
        <f t="shared" si="167"/>
        <v>2567</v>
      </c>
      <c r="O44" s="22">
        <v>483</v>
      </c>
      <c r="P44" s="23">
        <v>502</v>
      </c>
      <c r="Q44" s="23">
        <v>475</v>
      </c>
      <c r="R44" s="23">
        <v>509</v>
      </c>
      <c r="S44" s="22">
        <v>569</v>
      </c>
      <c r="T44" s="23">
        <v>652</v>
      </c>
      <c r="U44" s="23">
        <v>708</v>
      </c>
      <c r="V44" s="23">
        <v>771</v>
      </c>
      <c r="W44" s="22">
        <v>864</v>
      </c>
      <c r="X44" s="23">
        <v>831</v>
      </c>
      <c r="Y44" s="23">
        <v>468</v>
      </c>
      <c r="Z44" s="23">
        <v>467</v>
      </c>
      <c r="AA44" s="22">
        <v>364</v>
      </c>
      <c r="AB44" s="23">
        <v>823</v>
      </c>
      <c r="AC44" s="23">
        <v>499</v>
      </c>
      <c r="AD44" s="23">
        <v>464</v>
      </c>
      <c r="AE44" s="22">
        <v>593</v>
      </c>
      <c r="AF44" s="23">
        <v>743</v>
      </c>
      <c r="AG44" s="23">
        <v>593</v>
      </c>
      <c r="AH44" s="23">
        <v>956</v>
      </c>
      <c r="AI44" s="22">
        <v>728</v>
      </c>
      <c r="AJ44" s="23">
        <v>696</v>
      </c>
      <c r="AK44" s="23">
        <v>784</v>
      </c>
      <c r="AL44" s="23">
        <v>920</v>
      </c>
      <c r="AM44" s="22">
        <v>971</v>
      </c>
      <c r="AN44" s="23">
        <v>866</v>
      </c>
      <c r="AO44" s="23">
        <v>496</v>
      </c>
      <c r="AP44" s="23">
        <v>553</v>
      </c>
      <c r="AQ44" s="22">
        <v>818</v>
      </c>
      <c r="AR44" s="23">
        <v>639</v>
      </c>
      <c r="AS44" s="23">
        <v>805</v>
      </c>
      <c r="AT44" s="23">
        <v>990</v>
      </c>
      <c r="AU44" s="22">
        <v>905</v>
      </c>
      <c r="AV44" s="24">
        <v>956</v>
      </c>
      <c r="AW44" s="24">
        <v>855</v>
      </c>
      <c r="AX44" s="24">
        <v>801</v>
      </c>
      <c r="AY44" s="25">
        <v>708</v>
      </c>
      <c r="AZ44" s="24">
        <v>899</v>
      </c>
      <c r="BA44" s="26">
        <v>715</v>
      </c>
      <c r="BB44" s="26">
        <v>1050</v>
      </c>
      <c r="BC44" s="35">
        <v>820</v>
      </c>
      <c r="BD44" s="26">
        <v>907</v>
      </c>
      <c r="BE44" s="26">
        <v>840</v>
      </c>
      <c r="BF44" s="27"/>
      <c r="BG44" s="28"/>
      <c r="BH44" s="27"/>
      <c r="BI44" s="27"/>
      <c r="BJ44" s="27"/>
      <c r="BK44" s="23"/>
      <c r="BL44" s="29">
        <f t="shared" si="138"/>
        <v>2886</v>
      </c>
      <c r="BM44" s="23">
        <f t="shared" si="139"/>
        <v>3252</v>
      </c>
      <c r="BN44" s="23">
        <f t="shared" si="140"/>
        <v>3517</v>
      </c>
      <c r="BO44" s="23">
        <f t="shared" si="141"/>
        <v>3372</v>
      </c>
      <c r="BP44" s="23">
        <f t="shared" si="142"/>
        <v>2567</v>
      </c>
      <c r="BQ44" s="23"/>
      <c r="BR44" s="23">
        <f t="shared" si="143"/>
        <v>3123</v>
      </c>
      <c r="BS44" s="30">
        <f t="shared" si="144"/>
        <v>3617</v>
      </c>
      <c r="BT44" s="31">
        <f t="shared" si="145"/>
        <v>721.5</v>
      </c>
      <c r="BU44" s="31">
        <f t="shared" si="146"/>
        <v>813</v>
      </c>
      <c r="BV44" s="31">
        <f t="shared" si="147"/>
        <v>879.25</v>
      </c>
      <c r="BW44" s="31">
        <f t="shared" si="148"/>
        <v>843</v>
      </c>
      <c r="BX44" s="31">
        <f t="shared" si="149"/>
        <v>855.66666666666663</v>
      </c>
      <c r="BY44" s="32">
        <f t="shared" si="150"/>
        <v>812.81818181818187</v>
      </c>
      <c r="BZ44" s="33"/>
      <c r="CA44" s="34">
        <f t="shared" si="151"/>
        <v>-7.3869900771775132E-2</v>
      </c>
      <c r="CB44" s="34">
        <f t="shared" si="152"/>
        <v>0.17482517482517479</v>
      </c>
      <c r="CC44" s="34">
        <f t="shared" si="153"/>
        <v>3.3441449502292775E-2</v>
      </c>
      <c r="CD44" s="34">
        <f t="shared" si="154"/>
        <v>0.15818123599103417</v>
      </c>
      <c r="CE44" s="33"/>
      <c r="CF44" s="34">
        <f t="shared" si="155"/>
        <v>5.2715952727137028E-2</v>
      </c>
      <c r="CG44" s="33"/>
      <c r="CH44" s="34">
        <f t="shared" si="156"/>
        <v>0.12681912681912677</v>
      </c>
      <c r="CI44" s="34">
        <f t="shared" si="156"/>
        <v>8.1488314883148893E-2</v>
      </c>
      <c r="CJ44" s="34">
        <f t="shared" si="156"/>
        <v>-4.122831959056017E-2</v>
      </c>
      <c r="CK44" s="34">
        <f t="shared" si="156"/>
        <v>-0.23873072360616843</v>
      </c>
    </row>
    <row r="45" spans="2:89" s="8" customFormat="1">
      <c r="B45" s="36" t="s">
        <v>76</v>
      </c>
      <c r="C45" s="76">
        <f t="shared" si="157"/>
        <v>1803</v>
      </c>
      <c r="D45" s="76">
        <f t="shared" si="158"/>
        <v>2394.1999999999998</v>
      </c>
      <c r="E45" s="76">
        <f t="shared" si="159"/>
        <v>2212.6</v>
      </c>
      <c r="F45" s="76">
        <f t="shared" si="160"/>
        <v>1621.4</v>
      </c>
      <c r="G45" s="76">
        <f t="shared" si="161"/>
        <v>2338.8000000000002</v>
      </c>
      <c r="H45" s="76">
        <f t="shared" si="162"/>
        <v>2203</v>
      </c>
      <c r="I45" s="76">
        <f t="shared" si="163"/>
        <v>2073.6</v>
      </c>
      <c r="J45" s="76">
        <f t="shared" si="164"/>
        <v>2514.6</v>
      </c>
      <c r="K45" s="76">
        <f t="shared" si="165"/>
        <v>2782.6</v>
      </c>
      <c r="L45" s="76">
        <f t="shared" si="166"/>
        <v>2732.6</v>
      </c>
      <c r="M45" s="76">
        <f t="shared" si="167"/>
        <v>1954.8</v>
      </c>
      <c r="N45" s="36"/>
      <c r="O45" s="37">
        <f t="shared" ref="O45:BE45" si="168">AVERAGE(O40:O44)</f>
        <v>436</v>
      </c>
      <c r="P45" s="38">
        <f t="shared" si="168"/>
        <v>449.8</v>
      </c>
      <c r="Q45" s="38">
        <f t="shared" si="168"/>
        <v>470.8</v>
      </c>
      <c r="R45" s="38">
        <f t="shared" si="168"/>
        <v>446.4</v>
      </c>
      <c r="S45" s="37">
        <f t="shared" si="168"/>
        <v>572</v>
      </c>
      <c r="T45" s="38">
        <f t="shared" si="168"/>
        <v>580</v>
      </c>
      <c r="U45" s="38">
        <f t="shared" si="168"/>
        <v>570</v>
      </c>
      <c r="V45" s="38">
        <f t="shared" si="168"/>
        <v>672.2</v>
      </c>
      <c r="W45" s="37">
        <f t="shared" si="168"/>
        <v>743.8</v>
      </c>
      <c r="X45" s="38">
        <f t="shared" si="168"/>
        <v>754.6</v>
      </c>
      <c r="Y45" s="38">
        <f t="shared" si="168"/>
        <v>308.60000000000002</v>
      </c>
      <c r="Z45" s="38">
        <f t="shared" si="168"/>
        <v>405.6</v>
      </c>
      <c r="AA45" s="37">
        <f t="shared" si="168"/>
        <v>385.8</v>
      </c>
      <c r="AB45" s="38">
        <f t="shared" si="168"/>
        <v>573.6</v>
      </c>
      <c r="AC45" s="38">
        <f t="shared" si="168"/>
        <v>389</v>
      </c>
      <c r="AD45" s="38">
        <f t="shared" si="168"/>
        <v>273</v>
      </c>
      <c r="AE45" s="37">
        <f t="shared" si="168"/>
        <v>470.8</v>
      </c>
      <c r="AF45" s="38">
        <f t="shared" si="168"/>
        <v>635.20000000000005</v>
      </c>
      <c r="AG45" s="38">
        <f t="shared" si="168"/>
        <v>510</v>
      </c>
      <c r="AH45" s="38">
        <f t="shared" si="168"/>
        <v>722.8</v>
      </c>
      <c r="AI45" s="37">
        <f t="shared" si="168"/>
        <v>552.20000000000005</v>
      </c>
      <c r="AJ45" s="38">
        <f t="shared" si="168"/>
        <v>494.2</v>
      </c>
      <c r="AK45" s="38">
        <f t="shared" si="168"/>
        <v>559</v>
      </c>
      <c r="AL45" s="38">
        <f t="shared" si="168"/>
        <v>597.6</v>
      </c>
      <c r="AM45" s="37">
        <f t="shared" si="168"/>
        <v>628.79999999999995</v>
      </c>
      <c r="AN45" s="38">
        <f t="shared" si="168"/>
        <v>674.8</v>
      </c>
      <c r="AO45" s="38">
        <f t="shared" si="168"/>
        <v>367.4</v>
      </c>
      <c r="AP45" s="38">
        <f t="shared" si="168"/>
        <v>402.6</v>
      </c>
      <c r="AQ45" s="37">
        <f t="shared" si="168"/>
        <v>595</v>
      </c>
      <c r="AR45" s="38">
        <f t="shared" si="168"/>
        <v>521.6</v>
      </c>
      <c r="AS45" s="38">
        <f t="shared" si="168"/>
        <v>632.20000000000005</v>
      </c>
      <c r="AT45" s="38">
        <f t="shared" si="168"/>
        <v>765.8</v>
      </c>
      <c r="AU45" s="37">
        <f t="shared" si="168"/>
        <v>733.2</v>
      </c>
      <c r="AV45" s="38">
        <f t="shared" si="168"/>
        <v>739</v>
      </c>
      <c r="AW45" s="38">
        <f t="shared" si="168"/>
        <v>637.79999999999995</v>
      </c>
      <c r="AX45" s="38">
        <f t="shared" si="168"/>
        <v>672.6</v>
      </c>
      <c r="AY45" s="37">
        <f t="shared" si="168"/>
        <v>691.4</v>
      </c>
      <c r="AZ45" s="38">
        <f t="shared" si="168"/>
        <v>758.8</v>
      </c>
      <c r="BA45" s="39">
        <f t="shared" si="168"/>
        <v>612</v>
      </c>
      <c r="BB45" s="62">
        <f t="shared" si="168"/>
        <v>670.4</v>
      </c>
      <c r="BC45" s="37">
        <f t="shared" si="168"/>
        <v>615.20000000000005</v>
      </c>
      <c r="BD45" s="38">
        <f t="shared" si="168"/>
        <v>730.8</v>
      </c>
      <c r="BE45" s="38">
        <f t="shared" si="168"/>
        <v>608.79999999999995</v>
      </c>
      <c r="BF45" s="38"/>
      <c r="BG45" s="37"/>
      <c r="BH45" s="38"/>
      <c r="BI45" s="38"/>
      <c r="BJ45" s="38"/>
      <c r="BK45" s="23"/>
      <c r="BL45" s="42">
        <f t="shared" si="138"/>
        <v>2073.6</v>
      </c>
      <c r="BM45" s="38">
        <f t="shared" si="139"/>
        <v>2514.6</v>
      </c>
      <c r="BN45" s="38">
        <f t="shared" si="140"/>
        <v>2782.6</v>
      </c>
      <c r="BO45" s="38">
        <f t="shared" si="141"/>
        <v>2732.6</v>
      </c>
      <c r="BP45" s="38">
        <f t="shared" si="142"/>
        <v>1954.8</v>
      </c>
      <c r="BQ45" s="23"/>
      <c r="BR45" s="38">
        <f t="shared" si="143"/>
        <v>2734.8</v>
      </c>
      <c r="BS45" s="43">
        <f t="shared" si="144"/>
        <v>2625.2</v>
      </c>
      <c r="BT45" s="44">
        <f t="shared" si="145"/>
        <v>518.4</v>
      </c>
      <c r="BU45" s="44">
        <f t="shared" si="146"/>
        <v>628.65</v>
      </c>
      <c r="BV45" s="44">
        <f t="shared" si="147"/>
        <v>695.65</v>
      </c>
      <c r="BW45" s="44">
        <f t="shared" si="148"/>
        <v>683.15</v>
      </c>
      <c r="BX45" s="44">
        <f t="shared" si="149"/>
        <v>651.6</v>
      </c>
      <c r="BY45" s="45">
        <f t="shared" si="150"/>
        <v>620.56363636363631</v>
      </c>
      <c r="BZ45" s="33"/>
      <c r="CA45" s="46">
        <f t="shared" si="151"/>
        <v>-0.16694033935413244</v>
      </c>
      <c r="CB45" s="46">
        <f t="shared" si="152"/>
        <v>-5.228758169934733E-3</v>
      </c>
      <c r="CC45" s="46">
        <f t="shared" si="153"/>
        <v>-1.8956373970876905E-2</v>
      </c>
      <c r="CD45" s="46">
        <f t="shared" si="154"/>
        <v>-4.007605675003667E-2</v>
      </c>
      <c r="CE45" s="33"/>
      <c r="CF45" s="46">
        <f t="shared" si="155"/>
        <v>5.0013184495034002E-2</v>
      </c>
      <c r="CG45" s="33"/>
      <c r="CH45" s="46">
        <f t="shared" si="156"/>
        <v>0.21267361111111116</v>
      </c>
      <c r="CI45" s="46">
        <f t="shared" si="156"/>
        <v>0.10657758689254759</v>
      </c>
      <c r="CJ45" s="46">
        <f t="shared" si="156"/>
        <v>-1.7968806152519279E-2</v>
      </c>
      <c r="CK45" s="46">
        <f t="shared" si="156"/>
        <v>-0.28463734172582889</v>
      </c>
    </row>
    <row r="46" spans="2:89" s="8" customFormat="1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8"/>
      <c r="Q46" s="38"/>
      <c r="R46" s="38"/>
      <c r="S46" s="37"/>
      <c r="T46" s="38"/>
      <c r="U46" s="38"/>
      <c r="V46" s="38"/>
      <c r="W46" s="37"/>
      <c r="X46" s="38"/>
      <c r="Y46" s="38"/>
      <c r="Z46" s="38"/>
      <c r="AA46" s="37"/>
      <c r="AB46" s="38"/>
      <c r="AC46" s="38"/>
      <c r="AD46" s="38"/>
      <c r="AE46" s="37"/>
      <c r="AF46" s="38"/>
      <c r="AG46" s="38"/>
      <c r="AH46" s="38"/>
      <c r="AI46" s="37"/>
      <c r="AJ46" s="38"/>
      <c r="AK46" s="38"/>
      <c r="AL46" s="38"/>
      <c r="AM46" s="37"/>
      <c r="AN46" s="38"/>
      <c r="AO46" s="38"/>
      <c r="AP46" s="38"/>
      <c r="AQ46" s="37"/>
      <c r="AR46" s="38"/>
      <c r="AS46" s="38"/>
      <c r="AT46" s="38"/>
      <c r="AU46" s="37"/>
      <c r="AV46" s="38"/>
      <c r="AW46" s="23"/>
      <c r="AX46" s="23"/>
      <c r="AY46" s="37"/>
      <c r="AZ46" s="38"/>
      <c r="BA46" s="26"/>
      <c r="BB46" s="23"/>
      <c r="BC46" s="37"/>
      <c r="BD46" s="38"/>
      <c r="BE46" s="23"/>
      <c r="BF46" s="23"/>
      <c r="BG46" s="37"/>
      <c r="BH46" s="38"/>
      <c r="BI46" s="23"/>
      <c r="BJ46" s="23"/>
      <c r="BK46" s="23"/>
      <c r="BL46" s="42"/>
      <c r="BM46" s="38"/>
      <c r="BN46" s="23"/>
      <c r="BO46" s="23"/>
      <c r="BP46" s="23"/>
      <c r="BQ46" s="23"/>
      <c r="BR46" s="38"/>
      <c r="BS46" s="43"/>
      <c r="BT46" s="44"/>
      <c r="BU46" s="44"/>
      <c r="BV46" s="31"/>
      <c r="BW46" s="31"/>
      <c r="BX46" s="31"/>
      <c r="BY46" s="45"/>
      <c r="BZ46" s="33"/>
      <c r="CA46" s="34"/>
      <c r="CB46" s="34"/>
      <c r="CC46" s="34"/>
      <c r="CD46" s="34"/>
      <c r="CE46" s="33"/>
      <c r="CF46" s="34"/>
      <c r="CG46" s="33"/>
      <c r="CH46" s="34"/>
      <c r="CI46" s="34"/>
      <c r="CJ46" s="34"/>
      <c r="CK46" s="34"/>
    </row>
    <row r="47" spans="2:89" s="8" customFormat="1" hidden="1" outlineLevel="1" collapsed="1">
      <c r="B47" s="8" t="s">
        <v>71</v>
      </c>
      <c r="O47" s="22" t="s">
        <v>72</v>
      </c>
      <c r="P47" s="23" t="s">
        <v>72</v>
      </c>
      <c r="Q47" s="23" t="s">
        <v>72</v>
      </c>
      <c r="R47" s="23" t="s">
        <v>72</v>
      </c>
      <c r="S47" s="22" t="s">
        <v>72</v>
      </c>
      <c r="T47" s="23" t="s">
        <v>72</v>
      </c>
      <c r="U47" s="23" t="s">
        <v>72</v>
      </c>
      <c r="V47" s="23" t="s">
        <v>72</v>
      </c>
      <c r="W47" s="22" t="s">
        <v>72</v>
      </c>
      <c r="X47" s="23" t="s">
        <v>72</v>
      </c>
      <c r="Y47" s="23" t="s">
        <v>72</v>
      </c>
      <c r="Z47" s="23" t="s">
        <v>72</v>
      </c>
      <c r="AA47" s="22" t="s">
        <v>72</v>
      </c>
      <c r="AB47" s="23" t="s">
        <v>72</v>
      </c>
      <c r="AC47" s="23" t="s">
        <v>72</v>
      </c>
      <c r="AD47" s="23" t="s">
        <v>72</v>
      </c>
      <c r="AE47" s="22" t="s">
        <v>72</v>
      </c>
      <c r="AF47" s="23" t="s">
        <v>72</v>
      </c>
      <c r="AG47" s="23" t="s">
        <v>72</v>
      </c>
      <c r="AH47" s="23" t="s">
        <v>72</v>
      </c>
      <c r="AI47" s="22" t="s">
        <v>72</v>
      </c>
      <c r="AJ47" s="23" t="s">
        <v>72</v>
      </c>
      <c r="AK47" s="23" t="s">
        <v>72</v>
      </c>
      <c r="AL47" s="23" t="s">
        <v>72</v>
      </c>
      <c r="AM47" s="22" t="s">
        <v>72</v>
      </c>
      <c r="AN47" s="23" t="s">
        <v>72</v>
      </c>
      <c r="AO47" s="23" t="s">
        <v>72</v>
      </c>
      <c r="AP47" s="23" t="s">
        <v>72</v>
      </c>
      <c r="AQ47" s="22" t="s">
        <v>72</v>
      </c>
      <c r="AR47" s="23" t="s">
        <v>72</v>
      </c>
      <c r="AS47" s="23" t="s">
        <v>72</v>
      </c>
      <c r="AT47" s="24" t="s">
        <v>72</v>
      </c>
      <c r="AU47" s="25" t="s">
        <v>72</v>
      </c>
      <c r="AV47" s="24" t="s">
        <v>72</v>
      </c>
      <c r="AW47" s="24" t="s">
        <v>72</v>
      </c>
      <c r="AX47" s="24" t="s">
        <v>72</v>
      </c>
      <c r="AY47" s="25" t="s">
        <v>72</v>
      </c>
      <c r="AZ47" s="24" t="s">
        <v>72</v>
      </c>
      <c r="BA47" s="24" t="s">
        <v>72</v>
      </c>
      <c r="BB47" s="24" t="s">
        <v>72</v>
      </c>
      <c r="BC47" s="25" t="s">
        <v>72</v>
      </c>
      <c r="BD47" s="24" t="s">
        <v>72</v>
      </c>
      <c r="BE47" s="24"/>
      <c r="BF47" s="24"/>
      <c r="BG47" s="25"/>
      <c r="BH47" s="24"/>
      <c r="BI47" s="24"/>
      <c r="BJ47" s="24"/>
      <c r="BK47" s="24"/>
      <c r="BL47" s="29"/>
      <c r="BM47" s="23"/>
      <c r="BN47" s="23"/>
      <c r="BO47" s="23"/>
      <c r="BP47" s="23"/>
      <c r="BQ47" s="23"/>
      <c r="BR47" s="23"/>
      <c r="BS47" s="30"/>
      <c r="BT47" s="31"/>
      <c r="BU47" s="31"/>
      <c r="BV47" s="31"/>
      <c r="BW47" s="31"/>
      <c r="BX47" s="31"/>
      <c r="BY47" s="32"/>
      <c r="BZ47" s="33"/>
      <c r="CA47" s="34"/>
      <c r="CB47" s="34"/>
      <c r="CC47" s="34"/>
      <c r="CD47" s="34"/>
      <c r="CE47" s="33"/>
      <c r="CF47" s="34"/>
      <c r="CG47" s="33"/>
      <c r="CH47" s="34"/>
      <c r="CI47" s="34"/>
      <c r="CJ47" s="34"/>
      <c r="CK47" s="34"/>
    </row>
    <row r="48" spans="2:89" s="8" customFormat="1" hidden="1" outlineLevel="1">
      <c r="B48" s="8" t="s">
        <v>73</v>
      </c>
      <c r="O48" s="22">
        <f>271/1.18179093006696</f>
        <v>229.31298007562572</v>
      </c>
      <c r="P48" s="23">
        <f>411/1.2262072165063</f>
        <v>335.17989004421128</v>
      </c>
      <c r="Q48" s="23">
        <f>408/1.2731750919634</f>
        <v>320.45867263300875</v>
      </c>
      <c r="R48" s="23">
        <f>394/1.30106828551284</f>
        <v>302.82807166012634</v>
      </c>
      <c r="S48" s="22">
        <f>456/1.29571400088145</f>
        <v>351.9295150702946</v>
      </c>
      <c r="T48" s="23">
        <f>613/1.24200401859975</f>
        <v>493.55717922000235</v>
      </c>
      <c r="U48" s="23">
        <f>451/1.23727922517284</f>
        <v>364.50947435652466</v>
      </c>
      <c r="V48" s="23">
        <f>686/1.23509407876847</f>
        <v>555.42327648758578</v>
      </c>
      <c r="W48" s="22">
        <f>787/1.23273802977337</f>
        <v>638.41625794953711</v>
      </c>
      <c r="X48" s="23">
        <f>690/1.22240293114084</f>
        <v>564.46199728598424</v>
      </c>
      <c r="Y48" s="23">
        <f>85/1.19889112487371</f>
        <v>70.898848307809288</v>
      </c>
      <c r="Z48" s="23">
        <f>338/1.14587907122353</f>
        <v>294.97004394983435</v>
      </c>
      <c r="AA48" s="22">
        <f>153/1.06675970047235</f>
        <v>143.42499058808954</v>
      </c>
      <c r="AB48" s="23">
        <f>228/1.03106342716605</f>
        <v>221.13091589978512</v>
      </c>
      <c r="AC48" s="23">
        <f>71/1.07158969959517</f>
        <v>66.256702567057815</v>
      </c>
      <c r="AD48" s="23">
        <f>-21/1.15387496023516</f>
        <v>-18.199545638567454</v>
      </c>
      <c r="AE48" s="22">
        <f>183/1.14636850650843</f>
        <v>159.63453196858586</v>
      </c>
      <c r="AF48" s="23">
        <f>236/1.11054400750259</f>
        <v>212.50846288452877</v>
      </c>
      <c r="AG48" s="23">
        <f>321/1.06193206768699</f>
        <v>302.27922271824309</v>
      </c>
      <c r="AH48" s="23">
        <f>401/1.02143151890403</f>
        <v>392.58627972461903</v>
      </c>
      <c r="AI48" s="22">
        <f>429/1.0572</f>
        <v>405.78887627695804</v>
      </c>
      <c r="AJ48" s="23">
        <f>447/1.1085</f>
        <v>403.24763193504737</v>
      </c>
      <c r="AK48" s="23">
        <f>499/1.0321</f>
        <v>483.48028291832185</v>
      </c>
      <c r="AL48" s="23">
        <f>585/0.9731</f>
        <v>601.17151371904231</v>
      </c>
      <c r="AM48" s="22">
        <f>488/0.9412</f>
        <v>518.48703782405437</v>
      </c>
      <c r="AN48" s="23">
        <f>387/0.8698</f>
        <v>444.92986893538745</v>
      </c>
      <c r="AO48" s="23">
        <f>306/0.8254</f>
        <v>370.72934334867944</v>
      </c>
      <c r="AP48" s="23">
        <f>223/0.9124</f>
        <v>244.41034633932486</v>
      </c>
      <c r="AQ48" s="22">
        <f>406/0.9215</f>
        <v>440.58600108518721</v>
      </c>
      <c r="AR48" s="23">
        <f>300/0.9364</f>
        <v>320.37590773173855</v>
      </c>
      <c r="AS48" s="23">
        <f>403/0.9623</f>
        <v>418.78831965083651</v>
      </c>
      <c r="AT48" s="24">
        <f>508/0.931</f>
        <v>545.64983888292159</v>
      </c>
      <c r="AU48" s="25">
        <f>461/0.9304</f>
        <v>495.48581255374035</v>
      </c>
      <c r="AV48" s="24">
        <f>535/0.9429</f>
        <v>567.39845158553396</v>
      </c>
      <c r="AW48" s="24">
        <f>424/0.932202</f>
        <v>454.83704175704406</v>
      </c>
      <c r="AX48" s="24">
        <f>482/0.903041</f>
        <v>533.75206662820403</v>
      </c>
      <c r="AY48" s="25">
        <f>468/0.892953968253968</f>
        <v>524.10316392355685</v>
      </c>
      <c r="AZ48" s="24">
        <f>483/0.8890421875</f>
        <v>543.28130519677961</v>
      </c>
      <c r="BA48" s="26">
        <f>519/0.955109837631328</f>
        <v>543.3929999999998</v>
      </c>
      <c r="BB48" s="24">
        <f>307/0.964156153846154</f>
        <v>318.41315203490012</v>
      </c>
      <c r="BC48" s="25">
        <f>332/0.953146825396825</f>
        <v>348.3198927529113</v>
      </c>
      <c r="BD48" s="24">
        <f>467/0.941266666666666</f>
        <v>496.13995325448013</v>
      </c>
      <c r="BE48" s="24">
        <f>326/0.9862</f>
        <v>330.56175218008519</v>
      </c>
      <c r="BF48" s="24"/>
      <c r="BG48" s="25"/>
      <c r="BH48" s="24"/>
      <c r="BI48" s="24"/>
      <c r="BJ48" s="24"/>
      <c r="BK48" s="24"/>
      <c r="BL48" s="29">
        <f t="shared" ref="BL48:BL52" si="169">SUM(AM48:AP48)</f>
        <v>1578.5565964474463</v>
      </c>
      <c r="BM48" s="23">
        <f t="shared" ref="BM48:BM52" si="170">SUM(AQ48:AT48)</f>
        <v>1725.4000673506839</v>
      </c>
      <c r="BN48" s="23">
        <f t="shared" ref="BN48:BN52" si="171">SUM(AU48:AX48)</f>
        <v>2051.4733725245223</v>
      </c>
      <c r="BO48" s="23">
        <f t="shared" ref="BO48:BO52" si="172">SUM(AY48:BB48)</f>
        <v>1929.1906211552364</v>
      </c>
      <c r="BP48" s="23">
        <f t="shared" ref="BP48:BP52" si="173">SUM(BC48:BF48)</f>
        <v>1175.0215981874767</v>
      </c>
      <c r="BQ48" s="23"/>
      <c r="BR48" s="23">
        <f t="shared" ref="BR48:BR52" si="174">SUM(AX48:BA48)</f>
        <v>2144.5295357485402</v>
      </c>
      <c r="BS48" s="30">
        <f t="shared" ref="BS48:BS52" si="175">SUM(BB48:BE48)</f>
        <v>1493.4347502223768</v>
      </c>
      <c r="BT48" s="31">
        <f t="shared" ref="BT48:BT52" si="176">AVERAGE(AM48:AP48)</f>
        <v>394.63914911186157</v>
      </c>
      <c r="BU48" s="31">
        <f t="shared" ref="BU48:BU52" si="177">AVERAGE(AQ48:AT48)</f>
        <v>431.35001683767098</v>
      </c>
      <c r="BV48" s="31">
        <f t="shared" ref="BV48:BV52" si="178">AVERAGE(AU48:AX48)</f>
        <v>512.86834313113059</v>
      </c>
      <c r="BW48" s="31">
        <f t="shared" ref="BW48:BW52" si="179">AVERAGE(AY48:BB48)</f>
        <v>482.2976552888091</v>
      </c>
      <c r="BX48" s="31">
        <f t="shared" ref="BX48:BX52" si="180">AVERAGE(BC48:BF48)</f>
        <v>391.67386606249221</v>
      </c>
      <c r="BY48" s="32">
        <f t="shared" ref="BY48:BY52" si="181">AVERAGE(AI48:BD48)</f>
        <v>455.58040037884768</v>
      </c>
      <c r="BZ48" s="33"/>
      <c r="CA48" s="34">
        <f t="shared" ref="CA48:CA52" si="182">BE48/BD48-1</f>
        <v>-0.33373285095922633</v>
      </c>
      <c r="CB48" s="34">
        <f t="shared" ref="CB48:CB52" si="183">BE48/BA48-1</f>
        <v>-0.39167094132591829</v>
      </c>
      <c r="CC48" s="34">
        <f t="shared" ref="CC48:CC52" si="184">BE48/BY48-1</f>
        <v>-0.27441621302145691</v>
      </c>
      <c r="CD48" s="34">
        <f t="shared" ref="CD48:CD52" si="185">BS48/BR48-1</f>
        <v>-0.30360728293672168</v>
      </c>
      <c r="CE48" s="33"/>
      <c r="CF48" s="34">
        <f t="shared" ref="CF48:CF52" si="186">BX48/BY48-1</f>
        <v>-0.14027498606878752</v>
      </c>
      <c r="CG48" s="33"/>
      <c r="CH48" s="34">
        <f t="shared" ref="CH48:CK52" si="187">BM48/BL48-1</f>
        <v>9.3023887286467932E-2</v>
      </c>
      <c r="CI48" s="34">
        <f t="shared" si="187"/>
        <v>0.18898417320367744</v>
      </c>
      <c r="CJ48" s="34">
        <f t="shared" si="187"/>
        <v>-5.9607281774662346E-2</v>
      </c>
      <c r="CK48" s="34">
        <f t="shared" si="187"/>
        <v>-0.39092509298855538</v>
      </c>
    </row>
    <row r="49" spans="2:89" s="8" customFormat="1" hidden="1" outlineLevel="1">
      <c r="B49" s="8" t="s">
        <v>74</v>
      </c>
      <c r="O49" s="22">
        <f>268*1.310659375</f>
        <v>351.25671249999999</v>
      </c>
      <c r="P49" s="23">
        <f>244*1.25901230769231</f>
        <v>307.19900307692365</v>
      </c>
      <c r="Q49" s="23">
        <f>267*1.22021818181818</f>
        <v>325.79825454545409</v>
      </c>
      <c r="R49" s="23">
        <f>238*1.18926615384615</f>
        <v>283.04534461538367</v>
      </c>
      <c r="S49" s="22">
        <f>323*1.20340769230769</f>
        <v>388.70068461538386</v>
      </c>
      <c r="T49" s="23">
        <f>373*1.25839538461538</f>
        <v>469.38147846153669</v>
      </c>
      <c r="U49" s="23">
        <f>294*1.27458307692308</f>
        <v>374.72742461538547</v>
      </c>
      <c r="V49" s="23">
        <f>341*1.28997538461538</f>
        <v>439.88160615384459</v>
      </c>
      <c r="W49" s="22">
        <f>401*1.31110461538462</f>
        <v>525.7529507692326</v>
      </c>
      <c r="X49" s="23">
        <f>339*1.34827846153846</f>
        <v>457.06639846153791</v>
      </c>
      <c r="Y49" s="23">
        <f>-324*1.37456923076923</f>
        <v>-445.36043076923056</v>
      </c>
      <c r="Z49" s="23">
        <f>298*1.44840303030303</f>
        <v>431.62410303030293</v>
      </c>
      <c r="AA49" s="22">
        <f>-1383*1.49919384615385</f>
        <v>-2073.3850892307746</v>
      </c>
      <c r="AB49" s="23">
        <f>127*1.56319846153846</f>
        <v>198.52620461538442</v>
      </c>
      <c r="AC49" s="23">
        <f>-369*1.50399242424242</f>
        <v>-554.97320454545297</v>
      </c>
      <c r="AD49" s="23">
        <f>911*1.32013787878788</f>
        <v>1202.6456075757585</v>
      </c>
      <c r="AE49" s="22">
        <f>130*1.3063203125</f>
        <v>169.82164062500001</v>
      </c>
      <c r="AF49" s="23">
        <f>444*1.36302923076923</f>
        <v>605.18497846153809</v>
      </c>
      <c r="AG49" s="23">
        <f>324*1.43024393939394</f>
        <v>463.39903636363653</v>
      </c>
      <c r="AH49" s="23">
        <f>230*1.47664393939394</f>
        <v>339.62810606060617</v>
      </c>
      <c r="AI49" s="22">
        <f>316*1.3848</f>
        <v>437.59680000000003</v>
      </c>
      <c r="AJ49" s="23">
        <f>284*1.2731</f>
        <v>361.56039999999996</v>
      </c>
      <c r="AK49" s="23">
        <f>307*1.2917</f>
        <v>396.55190000000005</v>
      </c>
      <c r="AL49" s="23">
        <f>294*1.3592</f>
        <v>399.60480000000001</v>
      </c>
      <c r="AM49" s="22">
        <f>378*1.3687</f>
        <v>517.36860000000001</v>
      </c>
      <c r="AN49" s="23">
        <f>318*1.4394</f>
        <v>457.72919999999999</v>
      </c>
      <c r="AO49" s="23">
        <f>169*1.4136</f>
        <v>238.89839999999998</v>
      </c>
      <c r="AP49" s="23">
        <f>191*1.3482</f>
        <v>257.50620000000004</v>
      </c>
      <c r="AQ49" s="22">
        <f>379*1.3114</f>
        <v>497.02059999999994</v>
      </c>
      <c r="AR49" s="23">
        <f>284*1.2836</f>
        <v>364.54240000000004</v>
      </c>
      <c r="AS49" s="23">
        <f>377*1.2513</f>
        <v>471.74010000000004</v>
      </c>
      <c r="AT49" s="24">
        <f>378*1.2975</f>
        <v>490.45500000000004</v>
      </c>
      <c r="AU49" s="25">
        <f>453*1.3202</f>
        <v>598.05060000000003</v>
      </c>
      <c r="AV49" s="24">
        <f>417*1.3057</f>
        <v>544.4769</v>
      </c>
      <c r="AW49" s="24">
        <f>367*1.32442</f>
        <v>486.06214</v>
      </c>
      <c r="AX49" s="23">
        <f>320*1.361378</f>
        <v>435.64096000000001</v>
      </c>
      <c r="AY49" s="25">
        <f>357.81*1.37026825396825</f>
        <v>490.29568395237953</v>
      </c>
      <c r="AZ49" s="24">
        <f>416.17*1.3713453125</f>
        <v>570.71277870312497</v>
      </c>
      <c r="BA49" s="26">
        <f>361.21*1.26871352448617</f>
        <v>458.27201217964944</v>
      </c>
      <c r="BB49" s="23">
        <f>391.22*1.24938230769231</f>
        <v>488.78334641538555</v>
      </c>
      <c r="BC49" s="25">
        <f>432.79*1.1254753968254</f>
        <v>487.09449699206493</v>
      </c>
      <c r="BD49" s="24">
        <f>455.9*1.10673095238095</f>
        <v>504.5586411904751</v>
      </c>
      <c r="BE49" s="24">
        <f>378*1.11170378787879</f>
        <v>420.22403181818265</v>
      </c>
      <c r="BF49" s="23"/>
      <c r="BG49" s="25"/>
      <c r="BH49" s="24"/>
      <c r="BI49" s="24"/>
      <c r="BJ49" s="23"/>
      <c r="BK49" s="24"/>
      <c r="BL49" s="29">
        <f t="shared" si="169"/>
        <v>1471.5024000000001</v>
      </c>
      <c r="BM49" s="23">
        <f t="shared" si="170"/>
        <v>1823.7581</v>
      </c>
      <c r="BN49" s="23">
        <f t="shared" si="171"/>
        <v>2064.2306000000003</v>
      </c>
      <c r="BO49" s="23">
        <f t="shared" si="172"/>
        <v>2008.0638212505394</v>
      </c>
      <c r="BP49" s="23">
        <f t="shared" si="173"/>
        <v>1411.8771700007228</v>
      </c>
      <c r="BQ49" s="23"/>
      <c r="BR49" s="23">
        <f t="shared" si="174"/>
        <v>1954.9214348351541</v>
      </c>
      <c r="BS49" s="30">
        <f t="shared" si="175"/>
        <v>1900.6605164161083</v>
      </c>
      <c r="BT49" s="31">
        <f t="shared" si="176"/>
        <v>367.87560000000002</v>
      </c>
      <c r="BU49" s="31">
        <f t="shared" si="177"/>
        <v>455.939525</v>
      </c>
      <c r="BV49" s="31">
        <f t="shared" si="178"/>
        <v>516.05765000000008</v>
      </c>
      <c r="BW49" s="31">
        <f t="shared" si="179"/>
        <v>502.01595531263484</v>
      </c>
      <c r="BX49" s="31">
        <f t="shared" si="180"/>
        <v>470.62572333357429</v>
      </c>
      <c r="BY49" s="32">
        <f t="shared" si="181"/>
        <v>452.47827088332184</v>
      </c>
      <c r="BZ49" s="33"/>
      <c r="CA49" s="34">
        <f t="shared" si="182"/>
        <v>-0.16714530777494985</v>
      </c>
      <c r="CB49" s="34">
        <f t="shared" si="183"/>
        <v>-8.302488336676217E-2</v>
      </c>
      <c r="CC49" s="34">
        <f t="shared" si="184"/>
        <v>-7.1283509376423582E-2</v>
      </c>
      <c r="CD49" s="34">
        <f t="shared" si="185"/>
        <v>-2.7756060909742475E-2</v>
      </c>
      <c r="CE49" s="33"/>
      <c r="CF49" s="34">
        <f t="shared" si="186"/>
        <v>4.0106793227496329E-2</v>
      </c>
      <c r="CG49" s="33"/>
      <c r="CH49" s="34">
        <f t="shared" si="187"/>
        <v>0.23938506658229031</v>
      </c>
      <c r="CI49" s="34">
        <f t="shared" si="187"/>
        <v>0.13185548017579762</v>
      </c>
      <c r="CJ49" s="34">
        <f t="shared" si="187"/>
        <v>-2.7209546622097847E-2</v>
      </c>
      <c r="CK49" s="34">
        <f t="shared" si="187"/>
        <v>-0.29689626641375177</v>
      </c>
    </row>
    <row r="50" spans="2:89" s="8" customFormat="1" hidden="1" outlineLevel="1">
      <c r="B50" s="8" t="s">
        <v>75</v>
      </c>
      <c r="O50" s="22">
        <f>370/1.18179093006696</f>
        <v>313.08414253867721</v>
      </c>
      <c r="P50" s="23">
        <f>422/1.2262072165063</f>
        <v>344.15064135926315</v>
      </c>
      <c r="Q50" s="23">
        <f>338/1.2731750919634</f>
        <v>265.47801801460037</v>
      </c>
      <c r="R50" s="23">
        <f>386/1.30106828551284</f>
        <v>296.67927832692578</v>
      </c>
      <c r="S50" s="22">
        <f>320/1.29571400088145</f>
        <v>246.96808075108393</v>
      </c>
      <c r="T50" s="23">
        <f>342/1.24200401859975</f>
        <v>275.36142788456903</v>
      </c>
      <c r="U50" s="23">
        <f>390/1.23727922517284</f>
        <v>315.20774944355793</v>
      </c>
      <c r="V50" s="23">
        <f>484/1.23509407876847</f>
        <v>391.87298224488558</v>
      </c>
      <c r="W50" s="22">
        <f>434/1.23273802977337</f>
        <v>352.06182458716529</v>
      </c>
      <c r="X50" s="23">
        <f>598/1.22240293114084</f>
        <v>489.20039764785304</v>
      </c>
      <c r="Y50" s="23">
        <f>247/1.19889112487371</f>
        <v>206.0237121415164</v>
      </c>
      <c r="Z50" s="23">
        <f>199/1.14587907122353</f>
        <v>173.66579510655927</v>
      </c>
      <c r="AA50" s="22">
        <f>171/1.06675970047235</f>
        <v>160.29851889257066</v>
      </c>
      <c r="AB50" s="23">
        <f>312/1.03106342716605</f>
        <v>302.6002007049691</v>
      </c>
      <c r="AC50" s="23">
        <f>242/1.07158969959517</f>
        <v>225.83270452433788</v>
      </c>
      <c r="AD50" s="23">
        <f>142/1.15387496023516</f>
        <v>123.06359431793231</v>
      </c>
      <c r="AE50" s="22">
        <f>218/1.14636850650843</f>
        <v>190.16572660738646</v>
      </c>
      <c r="AF50" s="23">
        <f>331/1.11054400750259</f>
        <v>298.05212379143654</v>
      </c>
      <c r="AG50" s="23">
        <f>170/1.06193206768699</f>
        <v>160.08556966386706</v>
      </c>
      <c r="AH50" s="23">
        <f>185/1.02143151890403</f>
        <v>181.1183584764452</v>
      </c>
      <c r="AI50" s="22">
        <f>213/1.0572</f>
        <v>201.4755959137344</v>
      </c>
      <c r="AJ50" s="23">
        <f>193/1.1085</f>
        <v>174.10915651781687</v>
      </c>
      <c r="AK50" s="23">
        <f>272/1.0321</f>
        <v>263.5403546168007</v>
      </c>
      <c r="AL50" s="23">
        <f>296/0.9731</f>
        <v>304.18250950570342</v>
      </c>
      <c r="AM50" s="22">
        <f>225/0.9412</f>
        <v>239.05652358691032</v>
      </c>
      <c r="AN50" s="23">
        <f>201/0.8698</f>
        <v>231.08760634628649</v>
      </c>
      <c r="AO50" s="23">
        <f>148/0.8254</f>
        <v>179.30700266537437</v>
      </c>
      <c r="AP50" s="23">
        <f>218/0.9214</f>
        <v>236.59648361189494</v>
      </c>
      <c r="AQ50" s="22">
        <f>268/0.9215</f>
        <v>290.83016820401519</v>
      </c>
      <c r="AR50" s="23">
        <f>197/0.9364</f>
        <v>210.38017941050833</v>
      </c>
      <c r="AS50" s="23">
        <f>246/0.9623</f>
        <v>255.63753507222279</v>
      </c>
      <c r="AT50" s="24">
        <f>298/0.932972</f>
        <v>319.40937134233394</v>
      </c>
      <c r="AU50" s="25">
        <f>249/0.930375</f>
        <v>267.63401854091092</v>
      </c>
      <c r="AV50" s="24">
        <f>246/0.9429</f>
        <v>260.89723194400256</v>
      </c>
      <c r="AW50" s="24">
        <f>185/0.932202</f>
        <v>198.45484133267254</v>
      </c>
      <c r="AX50" s="24">
        <f>208/0.90304</f>
        <v>230.33309709425941</v>
      </c>
      <c r="AY50" s="25">
        <f>303/0.892953968253968</f>
        <v>339.32320228384134</v>
      </c>
      <c r="AZ50" s="24">
        <f>371/0.8890421875</f>
        <v>417.30303152796108</v>
      </c>
      <c r="BA50" s="26">
        <f>216/0.955109837631328</f>
        <v>226.15199999999993</v>
      </c>
      <c r="BB50" s="24">
        <f>115/0.964156153846154</f>
        <v>119.2752849642134</v>
      </c>
      <c r="BC50" s="25">
        <f>143/0.953146825396825</f>
        <v>150.0293513965853</v>
      </c>
      <c r="BD50" s="24">
        <f>180/0.941266666666666</f>
        <v>191.23167363127712</v>
      </c>
      <c r="BE50" s="24">
        <f>254/0.9862</f>
        <v>257.55424863110932</v>
      </c>
      <c r="BF50" s="24"/>
      <c r="BG50" s="25"/>
      <c r="BH50" s="24"/>
      <c r="BI50" s="24"/>
      <c r="BJ50" s="24"/>
      <c r="BK50" s="24"/>
      <c r="BL50" s="29">
        <f t="shared" si="169"/>
        <v>886.04761621046623</v>
      </c>
      <c r="BM50" s="23">
        <f t="shared" si="170"/>
        <v>1076.2572540290803</v>
      </c>
      <c r="BN50" s="23">
        <f t="shared" si="171"/>
        <v>957.31918891184546</v>
      </c>
      <c r="BO50" s="23">
        <f t="shared" si="172"/>
        <v>1102.0535187760158</v>
      </c>
      <c r="BP50" s="23">
        <f t="shared" si="173"/>
        <v>598.81527365897171</v>
      </c>
      <c r="BQ50" s="23"/>
      <c r="BR50" s="23">
        <f t="shared" si="174"/>
        <v>1213.111330906062</v>
      </c>
      <c r="BS50" s="30">
        <f t="shared" si="175"/>
        <v>718.09055862318507</v>
      </c>
      <c r="BT50" s="31">
        <f t="shared" si="176"/>
        <v>221.51190405261656</v>
      </c>
      <c r="BU50" s="31">
        <f t="shared" si="177"/>
        <v>269.06431350727007</v>
      </c>
      <c r="BV50" s="31">
        <f t="shared" si="178"/>
        <v>239.32979722796136</v>
      </c>
      <c r="BW50" s="31">
        <f t="shared" si="179"/>
        <v>275.51337969400396</v>
      </c>
      <c r="BX50" s="31">
        <f t="shared" si="180"/>
        <v>199.60509121965723</v>
      </c>
      <c r="BY50" s="32">
        <f t="shared" si="181"/>
        <v>241.19300997769662</v>
      </c>
      <c r="BZ50" s="33"/>
      <c r="CA50" s="34">
        <f t="shared" si="182"/>
        <v>0.34681793941578909</v>
      </c>
      <c r="CB50" s="34">
        <f t="shared" si="183"/>
        <v>0.13885461384869191</v>
      </c>
      <c r="CC50" s="34">
        <f t="shared" si="184"/>
        <v>6.7834630261157436E-2</v>
      </c>
      <c r="CD50" s="34">
        <f t="shared" si="185"/>
        <v>-0.40805881510739028</v>
      </c>
      <c r="CE50" s="33"/>
      <c r="CF50" s="34">
        <f t="shared" si="186"/>
        <v>-0.17242588730861264</v>
      </c>
      <c r="CG50" s="33"/>
      <c r="CH50" s="34">
        <f t="shared" si="187"/>
        <v>0.21467202703182142</v>
      </c>
      <c r="CI50" s="34">
        <f t="shared" si="187"/>
        <v>-0.11051081390808548</v>
      </c>
      <c r="CJ50" s="34">
        <f t="shared" si="187"/>
        <v>0.15118711871709722</v>
      </c>
      <c r="CK50" s="34">
        <f t="shared" si="187"/>
        <v>-0.45663684797809134</v>
      </c>
    </row>
    <row r="51" spans="2:89" s="8" customFormat="1" hidden="1" outlineLevel="1">
      <c r="B51" s="47" t="s">
        <v>76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37">
        <f t="shared" ref="O51:AH51" si="188">AVERAGE(O47:O50)</f>
        <v>297.88461170476762</v>
      </c>
      <c r="P51" s="38">
        <f t="shared" si="188"/>
        <v>328.84317816013271</v>
      </c>
      <c r="Q51" s="38">
        <f t="shared" si="188"/>
        <v>303.91164839768771</v>
      </c>
      <c r="R51" s="38">
        <f t="shared" si="188"/>
        <v>294.18423153414523</v>
      </c>
      <c r="S51" s="37">
        <f t="shared" si="188"/>
        <v>329.1994268122541</v>
      </c>
      <c r="T51" s="38">
        <f t="shared" si="188"/>
        <v>412.76669518870267</v>
      </c>
      <c r="U51" s="38">
        <f t="shared" si="188"/>
        <v>351.48154947182269</v>
      </c>
      <c r="V51" s="38">
        <f t="shared" si="188"/>
        <v>462.39262162877202</v>
      </c>
      <c r="W51" s="37">
        <f t="shared" si="188"/>
        <v>505.41034443531174</v>
      </c>
      <c r="X51" s="38">
        <f t="shared" si="188"/>
        <v>503.57626446512512</v>
      </c>
      <c r="Y51" s="38">
        <f t="shared" si="188"/>
        <v>-56.145956773301613</v>
      </c>
      <c r="Z51" s="38">
        <f t="shared" si="188"/>
        <v>300.08664736223221</v>
      </c>
      <c r="AA51" s="37">
        <f t="shared" si="188"/>
        <v>-589.88719325003819</v>
      </c>
      <c r="AB51" s="38">
        <f t="shared" si="188"/>
        <v>240.75244040671291</v>
      </c>
      <c r="AC51" s="38">
        <f t="shared" si="188"/>
        <v>-87.627932484685758</v>
      </c>
      <c r="AD51" s="38">
        <f t="shared" si="188"/>
        <v>435.83655208504109</v>
      </c>
      <c r="AE51" s="37">
        <f t="shared" si="188"/>
        <v>173.20729973365744</v>
      </c>
      <c r="AF51" s="38">
        <f t="shared" si="188"/>
        <v>371.91518837916783</v>
      </c>
      <c r="AG51" s="38">
        <f t="shared" si="188"/>
        <v>308.5879429152489</v>
      </c>
      <c r="AH51" s="38">
        <f t="shared" si="188"/>
        <v>304.44424808722346</v>
      </c>
      <c r="AI51" s="37">
        <f>AVERAGE(AI47:AI50)</f>
        <v>348.28709073023083</v>
      </c>
      <c r="AJ51" s="38">
        <f t="shared" ref="AJ51:AL51" si="189">AVERAGE(AJ47:AJ50)</f>
        <v>312.97239615095469</v>
      </c>
      <c r="AK51" s="38">
        <f t="shared" si="189"/>
        <v>381.19084584504088</v>
      </c>
      <c r="AL51" s="38">
        <f t="shared" si="189"/>
        <v>434.98627440824856</v>
      </c>
      <c r="AM51" s="37">
        <f>AVERAGE(AM47:AM50)</f>
        <v>424.97072047032157</v>
      </c>
      <c r="AN51" s="38">
        <f t="shared" ref="AN51:AP51" si="190">AVERAGE(AN47:AN50)</f>
        <v>377.91555842722465</v>
      </c>
      <c r="AO51" s="38">
        <f t="shared" si="190"/>
        <v>262.97824867135125</v>
      </c>
      <c r="AP51" s="38">
        <f t="shared" si="190"/>
        <v>246.17100998373994</v>
      </c>
      <c r="AQ51" s="37">
        <f>AVERAGE(AQ47:AQ50)</f>
        <v>409.47892309640082</v>
      </c>
      <c r="AR51" s="38">
        <f t="shared" ref="AR51:AT51" si="191">AVERAGE(AR47:AR50)</f>
        <v>298.43282904741568</v>
      </c>
      <c r="AS51" s="38">
        <f t="shared" si="191"/>
        <v>382.05531824101973</v>
      </c>
      <c r="AT51" s="38">
        <f t="shared" si="191"/>
        <v>451.83807007508523</v>
      </c>
      <c r="AU51" s="37">
        <f>AVERAGE(AU47:AU50)</f>
        <v>453.72347703155037</v>
      </c>
      <c r="AV51" s="38">
        <f t="shared" ref="AV51:BE51" si="192">AVERAGE(AV47:AV50)</f>
        <v>457.59086117651213</v>
      </c>
      <c r="AW51" s="38">
        <f t="shared" si="192"/>
        <v>379.78467436323882</v>
      </c>
      <c r="AX51" s="38">
        <f t="shared" si="192"/>
        <v>399.90870790748778</v>
      </c>
      <c r="AY51" s="37">
        <f t="shared" si="192"/>
        <v>451.24068338659254</v>
      </c>
      <c r="AZ51" s="38">
        <f t="shared" si="192"/>
        <v>510.43237180928855</v>
      </c>
      <c r="BA51" s="39">
        <f t="shared" si="192"/>
        <v>409.27233739321645</v>
      </c>
      <c r="BB51" s="38">
        <f t="shared" si="192"/>
        <v>308.82392780483298</v>
      </c>
      <c r="BC51" s="37">
        <f t="shared" si="192"/>
        <v>328.4812470471872</v>
      </c>
      <c r="BD51" s="38">
        <f t="shared" si="192"/>
        <v>397.31008935874411</v>
      </c>
      <c r="BE51" s="39">
        <f t="shared" si="192"/>
        <v>336.11334420979239</v>
      </c>
      <c r="BF51" s="38"/>
      <c r="BG51" s="37"/>
      <c r="BH51" s="38"/>
      <c r="BI51" s="38"/>
      <c r="BJ51" s="38"/>
      <c r="BK51" s="23"/>
      <c r="BL51" s="42">
        <f t="shared" si="169"/>
        <v>1312.0355375526372</v>
      </c>
      <c r="BM51" s="38">
        <f t="shared" si="170"/>
        <v>1541.8051404599214</v>
      </c>
      <c r="BN51" s="38">
        <f t="shared" si="171"/>
        <v>1691.007720478789</v>
      </c>
      <c r="BO51" s="38">
        <f t="shared" si="172"/>
        <v>1679.7693203939305</v>
      </c>
      <c r="BP51" s="38">
        <f t="shared" si="173"/>
        <v>1061.9046806157237</v>
      </c>
      <c r="BQ51" s="23"/>
      <c r="BR51" s="38">
        <f t="shared" si="174"/>
        <v>1770.8541004965853</v>
      </c>
      <c r="BS51" s="43">
        <f t="shared" si="175"/>
        <v>1370.7286084205566</v>
      </c>
      <c r="BT51" s="44">
        <f t="shared" si="176"/>
        <v>328.00888438815929</v>
      </c>
      <c r="BU51" s="44">
        <f t="shared" si="177"/>
        <v>385.45128511498035</v>
      </c>
      <c r="BV51" s="44">
        <f t="shared" si="178"/>
        <v>422.75193011969725</v>
      </c>
      <c r="BW51" s="44">
        <f t="shared" si="179"/>
        <v>419.94233009848261</v>
      </c>
      <c r="BX51" s="44">
        <f t="shared" si="180"/>
        <v>353.96822687190792</v>
      </c>
      <c r="BY51" s="45">
        <f t="shared" si="181"/>
        <v>383.08389374662204</v>
      </c>
      <c r="BZ51" s="33"/>
      <c r="CA51" s="46">
        <f t="shared" si="182"/>
        <v>-0.15402766450689154</v>
      </c>
      <c r="CB51" s="46">
        <f t="shared" si="183"/>
        <v>-0.1787538186660661</v>
      </c>
      <c r="CC51" s="46">
        <f t="shared" si="184"/>
        <v>-0.12261165322679091</v>
      </c>
      <c r="CD51" s="46">
        <f t="shared" si="185"/>
        <v>-0.22595056925571955</v>
      </c>
      <c r="CE51" s="33"/>
      <c r="CF51" s="46">
        <f t="shared" si="186"/>
        <v>-7.6003369888402839E-2</v>
      </c>
      <c r="CG51" s="33"/>
      <c r="CH51" s="46">
        <f t="shared" si="187"/>
        <v>0.17512452698947278</v>
      </c>
      <c r="CI51" s="46">
        <f t="shared" si="187"/>
        <v>9.6771359819412872E-2</v>
      </c>
      <c r="CJ51" s="46">
        <f t="shared" si="187"/>
        <v>-6.645977986236784E-3</v>
      </c>
      <c r="CK51" s="46">
        <f t="shared" si="187"/>
        <v>-0.36782707737114073</v>
      </c>
    </row>
    <row r="52" spans="2:89" s="8" customFormat="1" hidden="1" outlineLevel="1">
      <c r="B52" s="36" t="s">
        <v>77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>
        <f t="shared" ref="O52:AH52" si="193">AVERAGE(O40:O44,O47:O50)</f>
        <v>384.20672938928783</v>
      </c>
      <c r="P52" s="38">
        <f t="shared" si="193"/>
        <v>404.44119181004976</v>
      </c>
      <c r="Q52" s="38">
        <f t="shared" si="193"/>
        <v>408.21686814913295</v>
      </c>
      <c r="R52" s="38">
        <f t="shared" si="193"/>
        <v>389.31908682530445</v>
      </c>
      <c r="S52" s="37">
        <f t="shared" si="193"/>
        <v>480.94978505459534</v>
      </c>
      <c r="T52" s="38">
        <f t="shared" si="193"/>
        <v>517.28751069576356</v>
      </c>
      <c r="U52" s="38">
        <f t="shared" si="193"/>
        <v>488.05558105193353</v>
      </c>
      <c r="V52" s="38">
        <f t="shared" si="193"/>
        <v>593.52223311078956</v>
      </c>
      <c r="W52" s="37">
        <f t="shared" si="193"/>
        <v>654.40387916324187</v>
      </c>
      <c r="X52" s="38">
        <f t="shared" si="193"/>
        <v>660.46609917442186</v>
      </c>
      <c r="Y52" s="38">
        <f t="shared" si="193"/>
        <v>171.82026621001188</v>
      </c>
      <c r="Z52" s="38">
        <f t="shared" si="193"/>
        <v>366.0324927608371</v>
      </c>
      <c r="AA52" s="37">
        <f t="shared" si="193"/>
        <v>19.91730253123572</v>
      </c>
      <c r="AB52" s="38">
        <f t="shared" si="193"/>
        <v>448.78216515251734</v>
      </c>
      <c r="AC52" s="38">
        <f t="shared" si="193"/>
        <v>210.26452531824285</v>
      </c>
      <c r="AD52" s="38">
        <f t="shared" si="193"/>
        <v>334.06370703189043</v>
      </c>
      <c r="AE52" s="37">
        <f t="shared" si="193"/>
        <v>359.20273740012158</v>
      </c>
      <c r="AF52" s="38">
        <f t="shared" si="193"/>
        <v>536.46819564218788</v>
      </c>
      <c r="AG52" s="38">
        <f t="shared" si="193"/>
        <v>434.47047859321833</v>
      </c>
      <c r="AH52" s="38">
        <f t="shared" si="193"/>
        <v>565.91659303270876</v>
      </c>
      <c r="AI52" s="37">
        <f>AVERAGE(AI40:AI44,AI47:AI50)</f>
        <v>475.73265902383656</v>
      </c>
      <c r="AJ52" s="38">
        <f t="shared" ref="AJ52:BE52" si="194">AVERAGE(AJ40:AJ44,AJ47:AJ50)</f>
        <v>426.23964855660796</v>
      </c>
      <c r="AK52" s="38">
        <f t="shared" si="194"/>
        <v>492.32156719189032</v>
      </c>
      <c r="AL52" s="38">
        <f t="shared" si="194"/>
        <v>536.61985290309326</v>
      </c>
      <c r="AM52" s="37">
        <f t="shared" si="194"/>
        <v>552.36402017637056</v>
      </c>
      <c r="AN52" s="38">
        <f t="shared" si="194"/>
        <v>563.4683344102092</v>
      </c>
      <c r="AO52" s="38">
        <f t="shared" si="194"/>
        <v>328.24184325175673</v>
      </c>
      <c r="AP52" s="38">
        <f t="shared" si="194"/>
        <v>343.93912874390247</v>
      </c>
      <c r="AQ52" s="37">
        <f t="shared" si="194"/>
        <v>525.42959616115024</v>
      </c>
      <c r="AR52" s="38">
        <f t="shared" si="194"/>
        <v>437.91231089278085</v>
      </c>
      <c r="AS52" s="38">
        <f t="shared" si="194"/>
        <v>538.39574434038241</v>
      </c>
      <c r="AT52" s="38">
        <f t="shared" si="194"/>
        <v>648.06427627815685</v>
      </c>
      <c r="AU52" s="37">
        <f t="shared" si="194"/>
        <v>628.39630388683133</v>
      </c>
      <c r="AV52" s="38">
        <f t="shared" si="194"/>
        <v>633.47157294119199</v>
      </c>
      <c r="AW52" s="38">
        <f t="shared" si="194"/>
        <v>541.04425288621462</v>
      </c>
      <c r="AX52" s="38">
        <f t="shared" si="194"/>
        <v>570.34076546530798</v>
      </c>
      <c r="AY52" s="37">
        <f t="shared" si="194"/>
        <v>601.3402562699722</v>
      </c>
      <c r="AZ52" s="38">
        <f t="shared" si="194"/>
        <v>665.66213942848321</v>
      </c>
      <c r="BA52" s="39">
        <f t="shared" si="194"/>
        <v>535.97712652245616</v>
      </c>
      <c r="BB52" s="38">
        <f t="shared" si="194"/>
        <v>534.80897292681243</v>
      </c>
      <c r="BC52" s="37">
        <f t="shared" si="194"/>
        <v>507.68046764269513</v>
      </c>
      <c r="BD52" s="38">
        <f t="shared" si="194"/>
        <v>605.74128350952901</v>
      </c>
      <c r="BE52" s="39">
        <f t="shared" si="194"/>
        <v>506.5425040786721</v>
      </c>
      <c r="BF52" s="38"/>
      <c r="BG52" s="37"/>
      <c r="BH52" s="38"/>
      <c r="BI52" s="38"/>
      <c r="BJ52" s="38"/>
      <c r="BK52" s="23"/>
      <c r="BL52" s="42">
        <f t="shared" si="169"/>
        <v>1788.013326582239</v>
      </c>
      <c r="BM52" s="38">
        <f t="shared" si="170"/>
        <v>2149.8019276724704</v>
      </c>
      <c r="BN52" s="38">
        <f t="shared" si="171"/>
        <v>2373.2528951795457</v>
      </c>
      <c r="BO52" s="38">
        <f t="shared" si="172"/>
        <v>2337.7884951477245</v>
      </c>
      <c r="BP52" s="38">
        <f t="shared" si="173"/>
        <v>1619.9642552308965</v>
      </c>
      <c r="BQ52" s="23"/>
      <c r="BR52" s="38">
        <f t="shared" si="174"/>
        <v>2373.3202876862197</v>
      </c>
      <c r="BS52" s="43">
        <f t="shared" si="175"/>
        <v>2154.7732281577087</v>
      </c>
      <c r="BT52" s="44">
        <f t="shared" si="176"/>
        <v>447.00333164555974</v>
      </c>
      <c r="BU52" s="44">
        <f t="shared" si="177"/>
        <v>537.45048191811759</v>
      </c>
      <c r="BV52" s="44">
        <f t="shared" si="178"/>
        <v>593.31322379488643</v>
      </c>
      <c r="BW52" s="44">
        <f t="shared" si="179"/>
        <v>584.44712378693112</v>
      </c>
      <c r="BX52" s="44">
        <f t="shared" si="180"/>
        <v>539.98808507696549</v>
      </c>
      <c r="BY52" s="45">
        <f t="shared" si="181"/>
        <v>531.50873288225591</v>
      </c>
      <c r="BZ52" s="33"/>
      <c r="CA52" s="46">
        <f t="shared" si="182"/>
        <v>-0.16376427054157749</v>
      </c>
      <c r="CB52" s="46">
        <f t="shared" si="183"/>
        <v>-5.491768395931873E-2</v>
      </c>
      <c r="CC52" s="46">
        <f t="shared" si="184"/>
        <v>-4.6972377421152456E-2</v>
      </c>
      <c r="CD52" s="46">
        <f t="shared" si="185"/>
        <v>-9.2084941363550832E-2</v>
      </c>
      <c r="CE52" s="33"/>
      <c r="CF52" s="46">
        <f t="shared" si="186"/>
        <v>1.5953363830407685E-2</v>
      </c>
      <c r="CG52" s="33"/>
      <c r="CH52" s="46">
        <f t="shared" si="187"/>
        <v>0.20234110994115739</v>
      </c>
      <c r="CI52" s="46">
        <f t="shared" si="187"/>
        <v>0.10394025823067299</v>
      </c>
      <c r="CJ52" s="46">
        <f t="shared" si="187"/>
        <v>-1.49433716498798E-2</v>
      </c>
      <c r="CK52" s="46">
        <f t="shared" si="187"/>
        <v>-0.30705268736103897</v>
      </c>
    </row>
    <row r="53" spans="2:89" s="8" customFormat="1" hidden="1" outlineLevel="1">
      <c r="O53" s="56"/>
      <c r="P53" s="57"/>
      <c r="Q53" s="57"/>
      <c r="R53" s="57"/>
      <c r="S53" s="56"/>
      <c r="T53" s="57"/>
      <c r="U53" s="57"/>
      <c r="V53" s="57"/>
      <c r="W53" s="56"/>
      <c r="X53" s="57"/>
      <c r="Y53" s="57"/>
      <c r="Z53" s="57"/>
      <c r="AA53" s="56"/>
      <c r="AB53" s="57"/>
      <c r="AC53" s="57"/>
      <c r="AD53" s="57"/>
      <c r="AE53" s="56"/>
      <c r="AF53" s="57"/>
      <c r="AG53" s="57"/>
      <c r="AH53" s="57"/>
      <c r="AI53" s="56"/>
      <c r="AJ53" s="57"/>
      <c r="AK53" s="57"/>
      <c r="AL53" s="57"/>
      <c r="AM53" s="56"/>
      <c r="AN53" s="57"/>
      <c r="AO53" s="57"/>
      <c r="AP53" s="57"/>
      <c r="AQ53" s="56"/>
      <c r="AR53" s="57"/>
      <c r="AS53" s="57"/>
      <c r="AT53" s="57"/>
      <c r="AU53" s="56"/>
      <c r="AV53" s="57"/>
      <c r="AW53" s="57"/>
      <c r="AX53" s="57"/>
      <c r="AY53" s="56"/>
      <c r="AZ53" s="57"/>
      <c r="BA53" s="58"/>
      <c r="BB53" s="57"/>
      <c r="BC53" s="56"/>
      <c r="BD53" s="57"/>
      <c r="BE53" s="57"/>
      <c r="BF53" s="57"/>
      <c r="BG53" s="56"/>
      <c r="BH53" s="57"/>
      <c r="BI53" s="57"/>
      <c r="BJ53" s="57"/>
      <c r="BK53" s="57"/>
      <c r="BL53" s="59"/>
      <c r="BM53" s="57"/>
      <c r="BN53" s="57"/>
      <c r="BO53" s="57"/>
      <c r="BP53" s="57"/>
      <c r="BQ53" s="57"/>
      <c r="BR53" s="57"/>
      <c r="BS53" s="60"/>
      <c r="BT53" s="33"/>
      <c r="BU53" s="33"/>
      <c r="BV53" s="33"/>
      <c r="BW53" s="33"/>
      <c r="BX53" s="33"/>
      <c r="BY53" s="61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</row>
    <row r="54" spans="2:89" collapsed="1">
      <c r="B54" s="14" t="s">
        <v>80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48"/>
      <c r="P54" s="49"/>
      <c r="Q54" s="49"/>
      <c r="R54" s="49"/>
      <c r="S54" s="48"/>
      <c r="T54" s="49"/>
      <c r="U54" s="49"/>
      <c r="V54" s="49"/>
      <c r="W54" s="48"/>
      <c r="X54" s="49"/>
      <c r="Y54" s="49"/>
      <c r="Z54" s="49"/>
      <c r="AA54" s="48"/>
      <c r="AB54" s="49"/>
      <c r="AC54" s="49"/>
      <c r="AD54" s="49"/>
      <c r="AE54" s="48"/>
      <c r="AF54" s="49"/>
      <c r="AG54" s="49"/>
      <c r="AH54" s="49"/>
      <c r="AI54" s="48"/>
      <c r="AJ54" s="49"/>
      <c r="AK54" s="49"/>
      <c r="AL54" s="49"/>
      <c r="AM54" s="48"/>
      <c r="AN54" s="49"/>
      <c r="AO54" s="49"/>
      <c r="AP54" s="49"/>
      <c r="AQ54" s="48"/>
      <c r="AR54" s="49"/>
      <c r="AS54" s="49"/>
      <c r="AT54" s="49"/>
      <c r="AU54" s="48"/>
      <c r="AV54" s="49"/>
      <c r="AW54" s="49"/>
      <c r="AX54" s="49"/>
      <c r="AY54" s="48"/>
      <c r="AZ54" s="49"/>
      <c r="BA54" s="50"/>
      <c r="BB54" s="49"/>
      <c r="BC54" s="48"/>
      <c r="BD54" s="49"/>
      <c r="BE54" s="49"/>
      <c r="BF54" s="49"/>
      <c r="BG54" s="48"/>
      <c r="BH54" s="49"/>
      <c r="BI54" s="49"/>
      <c r="BJ54" s="49"/>
      <c r="BK54" s="49"/>
      <c r="BL54" s="51"/>
      <c r="BM54" s="49"/>
      <c r="BN54" s="49"/>
      <c r="BO54" s="49"/>
      <c r="BP54" s="49"/>
      <c r="BQ54" s="49"/>
      <c r="BR54" s="49"/>
      <c r="BS54" s="52"/>
      <c r="BT54" s="53"/>
      <c r="BU54" s="53"/>
      <c r="BV54" s="53"/>
      <c r="BW54" s="53"/>
      <c r="BX54" s="53"/>
      <c r="BY54" s="54"/>
      <c r="BZ54" s="55"/>
      <c r="CA54" s="53"/>
      <c r="CB54" s="53"/>
      <c r="CC54" s="53"/>
      <c r="CD54" s="53"/>
      <c r="CE54" s="55"/>
      <c r="CF54" s="53"/>
      <c r="CG54" s="55"/>
      <c r="CH54" s="53"/>
      <c r="CI54" s="53"/>
      <c r="CJ54" s="53"/>
      <c r="CK54" s="53"/>
    </row>
    <row r="55" spans="2:89" s="8" customFormat="1">
      <c r="B55" s="8" t="s">
        <v>66</v>
      </c>
      <c r="C55" s="76">
        <f>SUM(O55:R55)</f>
        <v>3671</v>
      </c>
      <c r="D55" s="76">
        <f>SUM(S55:V55)</f>
        <v>5629</v>
      </c>
      <c r="E55" s="76">
        <f>SUM(W55:Z55)</f>
        <v>7555</v>
      </c>
      <c r="F55" s="76">
        <f>SUM(AA55:AD55)</f>
        <v>5185</v>
      </c>
      <c r="G55" s="76">
        <f>SUM(AE55:AH55)</f>
        <v>4714</v>
      </c>
      <c r="H55" s="76">
        <f>SUM(AI55:AL55)</f>
        <v>4810</v>
      </c>
      <c r="I55" s="76">
        <f>SUM(AM55:AP55)</f>
        <v>4355</v>
      </c>
      <c r="J55" s="76">
        <f>SUM(AQ55:AT55)</f>
        <v>4926</v>
      </c>
      <c r="K55" s="76">
        <f>SUM(AU55:AX55)</f>
        <v>6004</v>
      </c>
      <c r="L55" s="76">
        <f>SUM(AY55:BB55)</f>
        <v>6464</v>
      </c>
      <c r="M55" s="76">
        <f>SUM(BC55:BE55)</f>
        <v>5480</v>
      </c>
      <c r="O55" s="22">
        <f t="shared" ref="O55:AH59" si="195">O10+O25+O40</f>
        <v>893</v>
      </c>
      <c r="P55" s="23">
        <f t="shared" si="195"/>
        <v>815</v>
      </c>
      <c r="Q55" s="23">
        <f t="shared" si="195"/>
        <v>1015</v>
      </c>
      <c r="R55" s="23">
        <f t="shared" si="195"/>
        <v>948</v>
      </c>
      <c r="S55" s="22">
        <f t="shared" si="195"/>
        <v>1471</v>
      </c>
      <c r="T55" s="23">
        <f t="shared" si="195"/>
        <v>1526</v>
      </c>
      <c r="U55" s="23">
        <f t="shared" si="195"/>
        <v>1288</v>
      </c>
      <c r="V55" s="23">
        <f t="shared" si="195"/>
        <v>1344</v>
      </c>
      <c r="W55" s="22">
        <f t="shared" si="195"/>
        <v>1716</v>
      </c>
      <c r="X55" s="23">
        <f t="shared" si="195"/>
        <v>1721</v>
      </c>
      <c r="Y55" s="23">
        <f t="shared" si="195"/>
        <v>2145</v>
      </c>
      <c r="Z55" s="23">
        <f t="shared" si="195"/>
        <v>1973</v>
      </c>
      <c r="AA55" s="22">
        <f t="shared" si="195"/>
        <v>1172</v>
      </c>
      <c r="AB55" s="23">
        <f t="shared" si="195"/>
        <v>1685</v>
      </c>
      <c r="AC55" s="23">
        <f t="shared" si="195"/>
        <v>1294</v>
      </c>
      <c r="AD55" s="23">
        <f t="shared" si="195"/>
        <v>1034</v>
      </c>
      <c r="AE55" s="22">
        <f t="shared" si="195"/>
        <v>823</v>
      </c>
      <c r="AF55" s="23">
        <f t="shared" si="195"/>
        <v>1440</v>
      </c>
      <c r="AG55" s="23">
        <f t="shared" si="195"/>
        <v>899</v>
      </c>
      <c r="AH55" s="23">
        <f t="shared" si="195"/>
        <v>1552</v>
      </c>
      <c r="AI55" s="22">
        <f>AI10+AI25+AI40</f>
        <v>1203</v>
      </c>
      <c r="AJ55" s="23">
        <f t="shared" ref="AJ55:AL55" si="196">AJ10+AJ25+AJ40</f>
        <v>941</v>
      </c>
      <c r="AK55" s="23">
        <f t="shared" si="196"/>
        <v>1159</v>
      </c>
      <c r="AL55" s="23">
        <f t="shared" si="196"/>
        <v>1507</v>
      </c>
      <c r="AM55" s="22">
        <f>AM10+AM25+AM40</f>
        <v>1269</v>
      </c>
      <c r="AN55" s="23">
        <f t="shared" ref="AN55:BE59" si="197">AN10+AN25+AN40</f>
        <v>1448</v>
      </c>
      <c r="AO55" s="23">
        <f t="shared" si="197"/>
        <v>781</v>
      </c>
      <c r="AP55" s="23">
        <f t="shared" si="197"/>
        <v>857</v>
      </c>
      <c r="AQ55" s="22">
        <f t="shared" si="197"/>
        <v>1154</v>
      </c>
      <c r="AR55" s="23">
        <f t="shared" si="197"/>
        <v>1203</v>
      </c>
      <c r="AS55" s="23">
        <f t="shared" si="197"/>
        <v>1164</v>
      </c>
      <c r="AT55" s="23">
        <f t="shared" si="197"/>
        <v>1405</v>
      </c>
      <c r="AU55" s="22">
        <f t="shared" si="197"/>
        <v>1568</v>
      </c>
      <c r="AV55" s="23">
        <f t="shared" si="197"/>
        <v>1552</v>
      </c>
      <c r="AW55" s="23">
        <f t="shared" si="197"/>
        <v>1166</v>
      </c>
      <c r="AX55" s="23">
        <f t="shared" si="197"/>
        <v>1718</v>
      </c>
      <c r="AY55" s="22">
        <f t="shared" si="197"/>
        <v>1779</v>
      </c>
      <c r="AZ55" s="23">
        <f t="shared" si="197"/>
        <v>1781</v>
      </c>
      <c r="BA55" s="26">
        <f t="shared" si="197"/>
        <v>1464</v>
      </c>
      <c r="BB55" s="23">
        <f t="shared" si="197"/>
        <v>1440</v>
      </c>
      <c r="BC55" s="22">
        <f t="shared" si="197"/>
        <v>1905</v>
      </c>
      <c r="BD55" s="23">
        <f t="shared" si="197"/>
        <v>2019</v>
      </c>
      <c r="BE55" s="23">
        <f t="shared" si="197"/>
        <v>1556</v>
      </c>
      <c r="BF55" s="23"/>
      <c r="BG55" s="22"/>
      <c r="BH55" s="23"/>
      <c r="BI55" s="23"/>
      <c r="BJ55" s="23"/>
      <c r="BK55" s="23"/>
      <c r="BL55" s="29">
        <f t="shared" ref="BL55:BL60" si="198">SUM(AM55:AP55)</f>
        <v>4355</v>
      </c>
      <c r="BM55" s="23">
        <f t="shared" ref="BM55:BM60" si="199">SUM(AQ55:AT55)</f>
        <v>4926</v>
      </c>
      <c r="BN55" s="23">
        <f t="shared" ref="BN55:BN60" si="200">SUM(AU55:AX55)</f>
        <v>6004</v>
      </c>
      <c r="BO55" s="23">
        <f t="shared" ref="BO55:BO60" si="201">SUM(AY55:BB55)</f>
        <v>6464</v>
      </c>
      <c r="BP55" s="23">
        <f t="shared" ref="BP55:BP60" si="202">SUM(BC55:BF55)</f>
        <v>5480</v>
      </c>
      <c r="BQ55" s="23"/>
      <c r="BR55" s="23">
        <f t="shared" ref="BR55:BR60" si="203">SUM(AX55:BA55)</f>
        <v>6742</v>
      </c>
      <c r="BS55" s="30">
        <f t="shared" ref="BS55:BS60" si="204">SUM(BB55:BE55)</f>
        <v>6920</v>
      </c>
      <c r="BT55" s="31">
        <f t="shared" ref="BT55:BT60" si="205">AVERAGE(AM55:AP55)</f>
        <v>1088.75</v>
      </c>
      <c r="BU55" s="31">
        <f t="shared" ref="BU55:BU60" si="206">AVERAGE(AQ55:AT55)</f>
        <v>1231.5</v>
      </c>
      <c r="BV55" s="31">
        <f t="shared" ref="BV55:BV60" si="207">AVERAGE(AU55:AX55)</f>
        <v>1501</v>
      </c>
      <c r="BW55" s="31">
        <f t="shared" ref="BW55:BW60" si="208">AVERAGE(AY55:BB55)</f>
        <v>1616</v>
      </c>
      <c r="BX55" s="31">
        <f t="shared" ref="BX55:BX60" si="209">AVERAGE(BC55:BF55)</f>
        <v>1826.6666666666667</v>
      </c>
      <c r="BY55" s="32">
        <f t="shared" ref="BY55:BY60" si="210">AVERAGE(AI55:BD55)</f>
        <v>1385.590909090909</v>
      </c>
      <c r="BZ55" s="33"/>
      <c r="CA55" s="34">
        <f t="shared" ref="CA55:CA60" si="211">BE55/BD55-1</f>
        <v>-0.22932144626052497</v>
      </c>
      <c r="CB55" s="34">
        <f t="shared" ref="CB55:CB60" si="212">BE55/BA55-1</f>
        <v>6.2841530054644767E-2</v>
      </c>
      <c r="CC55" s="34">
        <f t="shared" ref="CC55:CC60" si="213">BE55/BY55-1</f>
        <v>0.12298658268543128</v>
      </c>
      <c r="CD55" s="34">
        <f t="shared" ref="CD55:CD60" si="214">BS55/BR55-1</f>
        <v>2.6401661228122153E-2</v>
      </c>
      <c r="CE55" s="33"/>
      <c r="CF55" s="34">
        <f t="shared" ref="CF55:CF60" si="215">BX55/BY55-1</f>
        <v>0.31833043554330853</v>
      </c>
      <c r="CG55" s="33"/>
      <c r="CH55" s="34">
        <f t="shared" ref="CH55:CK60" si="216">BM55/BL55-1</f>
        <v>0.131113662456946</v>
      </c>
      <c r="CI55" s="34">
        <f t="shared" si="216"/>
        <v>0.21883881445391795</v>
      </c>
      <c r="CJ55" s="34">
        <f t="shared" si="216"/>
        <v>7.6615589606928713E-2</v>
      </c>
      <c r="CK55" s="34">
        <f t="shared" si="216"/>
        <v>-0.15222772277227725</v>
      </c>
    </row>
    <row r="56" spans="2:89" s="8" customFormat="1">
      <c r="B56" s="8" t="s">
        <v>67</v>
      </c>
      <c r="C56" s="76">
        <f t="shared" ref="C56:C59" si="217">SUM(O56:R56)</f>
        <v>3477</v>
      </c>
      <c r="D56" s="76">
        <f t="shared" ref="D56:D59" si="218">SUM(S56:V56)</f>
        <v>4228</v>
      </c>
      <c r="E56" s="76">
        <f t="shared" ref="E56:E59" si="219">SUM(W56:Z56)</f>
        <v>5538</v>
      </c>
      <c r="F56" s="76">
        <f t="shared" ref="F56:F59" si="220">SUM(AA56:AD56)</f>
        <v>3485</v>
      </c>
      <c r="G56" s="76">
        <f t="shared" ref="G56:G59" si="221">SUM(AE56:AH56)</f>
        <v>4051</v>
      </c>
      <c r="H56" s="76">
        <f t="shared" ref="H56:H59" si="222">SUM(AI56:AL56)</f>
        <v>4295</v>
      </c>
      <c r="I56" s="76">
        <f t="shared" ref="I56:I59" si="223">SUM(AM56:AP56)</f>
        <v>4228</v>
      </c>
      <c r="J56" s="76">
        <f t="shared" ref="J56:J59" si="224">SUM(AQ56:AT56)</f>
        <v>3930</v>
      </c>
      <c r="K56" s="76">
        <f t="shared" ref="K56:K59" si="225">SUM(AU56:AX56)</f>
        <v>4377</v>
      </c>
      <c r="L56" s="76">
        <f t="shared" ref="L56:L59" si="226">SUM(AY56:BB56)</f>
        <v>5203</v>
      </c>
      <c r="M56" s="76">
        <f t="shared" ref="M56:M59" si="227">SUM(BC56:BE56)</f>
        <v>3794</v>
      </c>
      <c r="O56" s="22">
        <f t="shared" si="195"/>
        <v>742</v>
      </c>
      <c r="P56" s="23">
        <f t="shared" si="195"/>
        <v>735</v>
      </c>
      <c r="Q56" s="23">
        <f t="shared" si="195"/>
        <v>898</v>
      </c>
      <c r="R56" s="23">
        <f t="shared" si="195"/>
        <v>1102</v>
      </c>
      <c r="S56" s="22">
        <f t="shared" si="195"/>
        <v>892</v>
      </c>
      <c r="T56" s="23">
        <f t="shared" si="195"/>
        <v>1035</v>
      </c>
      <c r="U56" s="23">
        <f t="shared" si="195"/>
        <v>992</v>
      </c>
      <c r="V56" s="23">
        <f t="shared" si="195"/>
        <v>1309</v>
      </c>
      <c r="W56" s="22">
        <f t="shared" si="195"/>
        <v>1032</v>
      </c>
      <c r="X56" s="23">
        <f t="shared" si="195"/>
        <v>1704</v>
      </c>
      <c r="Y56" s="23">
        <f t="shared" si="195"/>
        <v>1439</v>
      </c>
      <c r="Z56" s="23">
        <f t="shared" si="195"/>
        <v>1363</v>
      </c>
      <c r="AA56" s="22">
        <f t="shared" si="195"/>
        <v>842</v>
      </c>
      <c r="AB56" s="23">
        <f t="shared" si="195"/>
        <v>1096</v>
      </c>
      <c r="AC56" s="23">
        <f t="shared" si="195"/>
        <v>936</v>
      </c>
      <c r="AD56" s="23">
        <f t="shared" si="195"/>
        <v>611</v>
      </c>
      <c r="AE56" s="22">
        <f t="shared" si="195"/>
        <v>811</v>
      </c>
      <c r="AF56" s="23">
        <f t="shared" si="195"/>
        <v>1124</v>
      </c>
      <c r="AG56" s="23">
        <f t="shared" si="195"/>
        <v>1038</v>
      </c>
      <c r="AH56" s="23">
        <f t="shared" si="195"/>
        <v>1078</v>
      </c>
      <c r="AI56" s="22">
        <f t="shared" ref="AI56:AT59" si="228">AI11+AI26+AI41</f>
        <v>887</v>
      </c>
      <c r="AJ56" s="23">
        <f t="shared" si="228"/>
        <v>885</v>
      </c>
      <c r="AK56" s="23">
        <f t="shared" si="228"/>
        <v>1008</v>
      </c>
      <c r="AL56" s="23">
        <f t="shared" si="228"/>
        <v>1515</v>
      </c>
      <c r="AM56" s="22">
        <f t="shared" si="228"/>
        <v>1008</v>
      </c>
      <c r="AN56" s="23">
        <f t="shared" si="228"/>
        <v>1473</v>
      </c>
      <c r="AO56" s="23">
        <f t="shared" si="228"/>
        <v>864</v>
      </c>
      <c r="AP56" s="23">
        <f t="shared" si="228"/>
        <v>883</v>
      </c>
      <c r="AQ56" s="22">
        <f t="shared" si="228"/>
        <v>851</v>
      </c>
      <c r="AR56" s="23">
        <f t="shared" si="228"/>
        <v>884</v>
      </c>
      <c r="AS56" s="23">
        <f t="shared" si="228"/>
        <v>969</v>
      </c>
      <c r="AT56" s="23">
        <f t="shared" si="228"/>
        <v>1226</v>
      </c>
      <c r="AU56" s="22">
        <f t="shared" si="197"/>
        <v>945</v>
      </c>
      <c r="AV56" s="23">
        <f t="shared" si="197"/>
        <v>1078</v>
      </c>
      <c r="AW56" s="23">
        <f t="shared" si="197"/>
        <v>992</v>
      </c>
      <c r="AX56" s="23">
        <f t="shared" si="197"/>
        <v>1362</v>
      </c>
      <c r="AY56" s="22">
        <f t="shared" si="197"/>
        <v>1136</v>
      </c>
      <c r="AZ56" s="23">
        <f t="shared" si="197"/>
        <v>1432</v>
      </c>
      <c r="BA56" s="26">
        <f>BA11+BA26+BA41</f>
        <v>1340</v>
      </c>
      <c r="BB56" s="23">
        <f t="shared" si="197"/>
        <v>1295</v>
      </c>
      <c r="BC56" s="22">
        <f t="shared" si="197"/>
        <v>1173</v>
      </c>
      <c r="BD56" s="23">
        <f t="shared" si="197"/>
        <v>1440</v>
      </c>
      <c r="BE56" s="23">
        <f t="shared" si="197"/>
        <v>1181</v>
      </c>
      <c r="BF56" s="23"/>
      <c r="BG56" s="22"/>
      <c r="BH56" s="23"/>
      <c r="BI56" s="23"/>
      <c r="BJ56" s="23"/>
      <c r="BK56" s="23"/>
      <c r="BL56" s="29">
        <f t="shared" si="198"/>
        <v>4228</v>
      </c>
      <c r="BM56" s="23">
        <f t="shared" si="199"/>
        <v>3930</v>
      </c>
      <c r="BN56" s="23">
        <f t="shared" si="200"/>
        <v>4377</v>
      </c>
      <c r="BO56" s="23">
        <f t="shared" si="201"/>
        <v>5203</v>
      </c>
      <c r="BP56" s="23">
        <f t="shared" si="202"/>
        <v>3794</v>
      </c>
      <c r="BQ56" s="23"/>
      <c r="BR56" s="23">
        <f t="shared" si="203"/>
        <v>5270</v>
      </c>
      <c r="BS56" s="30">
        <f t="shared" si="204"/>
        <v>5089</v>
      </c>
      <c r="BT56" s="31">
        <f t="shared" si="205"/>
        <v>1057</v>
      </c>
      <c r="BU56" s="31">
        <f t="shared" si="206"/>
        <v>982.5</v>
      </c>
      <c r="BV56" s="31">
        <f t="shared" si="207"/>
        <v>1094.25</v>
      </c>
      <c r="BW56" s="31">
        <f t="shared" si="208"/>
        <v>1300.75</v>
      </c>
      <c r="BX56" s="31">
        <f t="shared" si="209"/>
        <v>1264.6666666666667</v>
      </c>
      <c r="BY56" s="32">
        <f t="shared" si="210"/>
        <v>1120.2727272727273</v>
      </c>
      <c r="BZ56" s="33"/>
      <c r="CA56" s="34">
        <f t="shared" si="211"/>
        <v>-0.17986111111111114</v>
      </c>
      <c r="CB56" s="34">
        <f t="shared" si="212"/>
        <v>-0.11865671641791042</v>
      </c>
      <c r="CC56" s="34">
        <f t="shared" si="213"/>
        <v>5.4207579323216848E-2</v>
      </c>
      <c r="CD56" s="34">
        <f t="shared" si="214"/>
        <v>-3.4345351043643224E-2</v>
      </c>
      <c r="CE56" s="33"/>
      <c r="CF56" s="34">
        <f t="shared" si="215"/>
        <v>0.12889177418918552</v>
      </c>
      <c r="CG56" s="33"/>
      <c r="CH56" s="34">
        <f t="shared" si="216"/>
        <v>-7.0482497634815511E-2</v>
      </c>
      <c r="CI56" s="34">
        <f t="shared" si="216"/>
        <v>0.11374045801526722</v>
      </c>
      <c r="CJ56" s="34">
        <f t="shared" si="216"/>
        <v>0.18871373086588994</v>
      </c>
      <c r="CK56" s="34">
        <f t="shared" si="216"/>
        <v>-0.27080530463194308</v>
      </c>
    </row>
    <row r="57" spans="2:89" s="8" customFormat="1">
      <c r="B57" s="8" t="s">
        <v>68</v>
      </c>
      <c r="C57" s="76">
        <f t="shared" si="217"/>
        <v>5079</v>
      </c>
      <c r="D57" s="76">
        <f t="shared" si="218"/>
        <v>6455</v>
      </c>
      <c r="E57" s="76">
        <f t="shared" si="219"/>
        <v>7469</v>
      </c>
      <c r="F57" s="76">
        <f t="shared" si="220"/>
        <v>5131</v>
      </c>
      <c r="G57" s="76">
        <f t="shared" si="221"/>
        <v>5824</v>
      </c>
      <c r="H57" s="76">
        <f t="shared" si="222"/>
        <v>5406</v>
      </c>
      <c r="I57" s="76">
        <f t="shared" si="223"/>
        <v>5587</v>
      </c>
      <c r="J57" s="76">
        <f t="shared" si="224"/>
        <v>5455</v>
      </c>
      <c r="K57" s="76">
        <f t="shared" si="225"/>
        <v>6406</v>
      </c>
      <c r="L57" s="76">
        <f t="shared" si="226"/>
        <v>6280</v>
      </c>
      <c r="M57" s="76">
        <f t="shared" si="227"/>
        <v>4461</v>
      </c>
      <c r="O57" s="22">
        <f t="shared" si="195"/>
        <v>1056</v>
      </c>
      <c r="P57" s="23">
        <f t="shared" si="195"/>
        <v>1252</v>
      </c>
      <c r="Q57" s="23">
        <f t="shared" si="195"/>
        <v>1304</v>
      </c>
      <c r="R57" s="23">
        <f t="shared" si="195"/>
        <v>1467</v>
      </c>
      <c r="S57" s="22">
        <f t="shared" si="195"/>
        <v>1411</v>
      </c>
      <c r="T57" s="23">
        <f t="shared" si="195"/>
        <v>1622</v>
      </c>
      <c r="U57" s="23">
        <f t="shared" si="195"/>
        <v>1373</v>
      </c>
      <c r="V57" s="23">
        <f t="shared" si="195"/>
        <v>2049</v>
      </c>
      <c r="W57" s="22">
        <f t="shared" si="195"/>
        <v>2056</v>
      </c>
      <c r="X57" s="23">
        <f t="shared" si="195"/>
        <v>2244</v>
      </c>
      <c r="Y57" s="23">
        <f t="shared" si="195"/>
        <v>1441</v>
      </c>
      <c r="Z57" s="23">
        <f t="shared" si="195"/>
        <v>1728</v>
      </c>
      <c r="AA57" s="22">
        <f t="shared" si="195"/>
        <v>1470</v>
      </c>
      <c r="AB57" s="23">
        <f t="shared" si="195"/>
        <v>1679</v>
      </c>
      <c r="AC57" s="23">
        <f t="shared" si="195"/>
        <v>1195</v>
      </c>
      <c r="AD57" s="23">
        <f t="shared" si="195"/>
        <v>787</v>
      </c>
      <c r="AE57" s="22">
        <f t="shared" si="195"/>
        <v>1141</v>
      </c>
      <c r="AF57" s="23">
        <f t="shared" si="195"/>
        <v>1744</v>
      </c>
      <c r="AG57" s="23">
        <f t="shared" si="195"/>
        <v>1334</v>
      </c>
      <c r="AH57" s="23">
        <f t="shared" si="195"/>
        <v>1605</v>
      </c>
      <c r="AI57" s="22">
        <f t="shared" si="228"/>
        <v>1216</v>
      </c>
      <c r="AJ57" s="23">
        <f t="shared" si="228"/>
        <v>1301</v>
      </c>
      <c r="AK57" s="23">
        <f t="shared" si="228"/>
        <v>1306</v>
      </c>
      <c r="AL57" s="23">
        <f t="shared" si="228"/>
        <v>1583</v>
      </c>
      <c r="AM57" s="22">
        <f t="shared" si="228"/>
        <v>1613</v>
      </c>
      <c r="AN57" s="23">
        <f t="shared" si="228"/>
        <v>1743</v>
      </c>
      <c r="AO57" s="23">
        <f t="shared" si="228"/>
        <v>1104</v>
      </c>
      <c r="AP57" s="23">
        <f t="shared" si="228"/>
        <v>1127</v>
      </c>
      <c r="AQ57" s="22">
        <f t="shared" si="228"/>
        <v>1283</v>
      </c>
      <c r="AR57" s="23">
        <f t="shared" si="228"/>
        <v>1178</v>
      </c>
      <c r="AS57" s="23">
        <f t="shared" si="228"/>
        <v>1365</v>
      </c>
      <c r="AT57" s="23">
        <f t="shared" si="228"/>
        <v>1629</v>
      </c>
      <c r="AU57" s="22">
        <f t="shared" si="197"/>
        <v>1602</v>
      </c>
      <c r="AV57" s="23">
        <f t="shared" si="197"/>
        <v>1605</v>
      </c>
      <c r="AW57" s="23">
        <f t="shared" si="197"/>
        <v>1393</v>
      </c>
      <c r="AX57" s="23">
        <f t="shared" si="197"/>
        <v>1806</v>
      </c>
      <c r="AY57" s="22">
        <f t="shared" si="197"/>
        <v>1624</v>
      </c>
      <c r="AZ57" s="23">
        <f t="shared" si="197"/>
        <v>1669</v>
      </c>
      <c r="BA57" s="26">
        <f t="shared" si="197"/>
        <v>1415</v>
      </c>
      <c r="BB57" s="23">
        <f t="shared" si="197"/>
        <v>1572</v>
      </c>
      <c r="BC57" s="22">
        <f t="shared" si="197"/>
        <v>1554</v>
      </c>
      <c r="BD57" s="23">
        <f t="shared" si="197"/>
        <v>1580</v>
      </c>
      <c r="BE57" s="23">
        <f t="shared" si="197"/>
        <v>1327</v>
      </c>
      <c r="BF57" s="23"/>
      <c r="BG57" s="22"/>
      <c r="BH57" s="23"/>
      <c r="BI57" s="23"/>
      <c r="BJ57" s="23"/>
      <c r="BK57" s="23"/>
      <c r="BL57" s="29">
        <f t="shared" si="198"/>
        <v>5587</v>
      </c>
      <c r="BM57" s="23">
        <f t="shared" si="199"/>
        <v>5455</v>
      </c>
      <c r="BN57" s="23">
        <f t="shared" si="200"/>
        <v>6406</v>
      </c>
      <c r="BO57" s="23">
        <f t="shared" si="201"/>
        <v>6280</v>
      </c>
      <c r="BP57" s="23">
        <f t="shared" si="202"/>
        <v>4461</v>
      </c>
      <c r="BQ57" s="23"/>
      <c r="BR57" s="23">
        <f t="shared" si="203"/>
        <v>6514</v>
      </c>
      <c r="BS57" s="30">
        <f t="shared" si="204"/>
        <v>6033</v>
      </c>
      <c r="BT57" s="31">
        <f t="shared" si="205"/>
        <v>1396.75</v>
      </c>
      <c r="BU57" s="31">
        <f t="shared" si="206"/>
        <v>1363.75</v>
      </c>
      <c r="BV57" s="31">
        <f t="shared" si="207"/>
        <v>1601.5</v>
      </c>
      <c r="BW57" s="31">
        <f t="shared" si="208"/>
        <v>1570</v>
      </c>
      <c r="BX57" s="31">
        <f t="shared" si="209"/>
        <v>1487</v>
      </c>
      <c r="BY57" s="32">
        <f t="shared" si="210"/>
        <v>1466.7272727272727</v>
      </c>
      <c r="BZ57" s="33"/>
      <c r="CA57" s="34">
        <f t="shared" si="211"/>
        <v>-0.16012658227848098</v>
      </c>
      <c r="CB57" s="34">
        <f t="shared" si="212"/>
        <v>-6.2190812720848032E-2</v>
      </c>
      <c r="CC57" s="34">
        <f t="shared" si="213"/>
        <v>-9.5264658485186615E-2</v>
      </c>
      <c r="CD57" s="34">
        <f t="shared" si="214"/>
        <v>-7.3840957936751606E-2</v>
      </c>
      <c r="CE57" s="33"/>
      <c r="CF57" s="34">
        <f t="shared" si="215"/>
        <v>1.3821742903185719E-2</v>
      </c>
      <c r="CG57" s="33"/>
      <c r="CH57" s="34">
        <f t="shared" si="216"/>
        <v>-2.3626275281904419E-2</v>
      </c>
      <c r="CI57" s="34">
        <f t="shared" si="216"/>
        <v>0.17433547204399624</v>
      </c>
      <c r="CJ57" s="34">
        <f t="shared" si="216"/>
        <v>-1.9669060256010007E-2</v>
      </c>
      <c r="CK57" s="34">
        <f t="shared" si="216"/>
        <v>-0.28964968152866244</v>
      </c>
    </row>
    <row r="58" spans="2:89" s="8" customFormat="1">
      <c r="B58" s="8" t="s">
        <v>69</v>
      </c>
      <c r="C58" s="76">
        <f t="shared" si="217"/>
        <v>4499</v>
      </c>
      <c r="D58" s="76">
        <f t="shared" si="218"/>
        <v>5255</v>
      </c>
      <c r="E58" s="76">
        <f t="shared" si="219"/>
        <v>5462</v>
      </c>
      <c r="F58" s="76">
        <f t="shared" si="220"/>
        <v>3284</v>
      </c>
      <c r="G58" s="76">
        <f t="shared" si="221"/>
        <v>4343</v>
      </c>
      <c r="H58" s="76">
        <f t="shared" si="222"/>
        <v>3828</v>
      </c>
      <c r="I58" s="76">
        <f t="shared" si="223"/>
        <v>3310</v>
      </c>
      <c r="J58" s="76">
        <f t="shared" si="224"/>
        <v>3668</v>
      </c>
      <c r="K58" s="76">
        <f t="shared" si="225"/>
        <v>4307</v>
      </c>
      <c r="L58" s="76">
        <f t="shared" si="226"/>
        <v>4707</v>
      </c>
      <c r="M58" s="76">
        <f t="shared" si="227"/>
        <v>3418</v>
      </c>
      <c r="O58" s="22">
        <f t="shared" si="195"/>
        <v>1025</v>
      </c>
      <c r="P58" s="23">
        <f t="shared" si="195"/>
        <v>1032</v>
      </c>
      <c r="Q58" s="23">
        <f t="shared" si="195"/>
        <v>1199</v>
      </c>
      <c r="R58" s="23">
        <f t="shared" si="195"/>
        <v>1243</v>
      </c>
      <c r="S58" s="22">
        <f t="shared" si="195"/>
        <v>1294</v>
      </c>
      <c r="T58" s="23">
        <f t="shared" si="195"/>
        <v>1250</v>
      </c>
      <c r="U58" s="23">
        <f t="shared" si="195"/>
        <v>1198</v>
      </c>
      <c r="V58" s="23">
        <f t="shared" si="195"/>
        <v>1513</v>
      </c>
      <c r="W58" s="22">
        <f t="shared" si="195"/>
        <v>1765</v>
      </c>
      <c r="X58" s="23">
        <f t="shared" si="195"/>
        <v>1648</v>
      </c>
      <c r="Y58" s="23">
        <f t="shared" si="195"/>
        <v>642</v>
      </c>
      <c r="Z58" s="23">
        <f t="shared" si="195"/>
        <v>1407</v>
      </c>
      <c r="AA58" s="22">
        <f t="shared" si="195"/>
        <v>830</v>
      </c>
      <c r="AB58" s="23">
        <f t="shared" si="195"/>
        <v>1335</v>
      </c>
      <c r="AC58" s="23">
        <f t="shared" si="195"/>
        <v>636</v>
      </c>
      <c r="AD58" s="23">
        <f t="shared" si="195"/>
        <v>483</v>
      </c>
      <c r="AE58" s="22">
        <f t="shared" si="195"/>
        <v>983</v>
      </c>
      <c r="AF58" s="23">
        <f t="shared" si="195"/>
        <v>1161</v>
      </c>
      <c r="AG58" s="23">
        <f t="shared" si="195"/>
        <v>1164</v>
      </c>
      <c r="AH58" s="23">
        <f t="shared" si="195"/>
        <v>1035</v>
      </c>
      <c r="AI58" s="22">
        <f t="shared" si="228"/>
        <v>1057</v>
      </c>
      <c r="AJ58" s="23">
        <f t="shared" si="228"/>
        <v>674</v>
      </c>
      <c r="AK58" s="23">
        <f t="shared" si="228"/>
        <v>930</v>
      </c>
      <c r="AL58" s="23">
        <f t="shared" si="228"/>
        <v>1167</v>
      </c>
      <c r="AM58" s="22">
        <f t="shared" si="228"/>
        <v>851</v>
      </c>
      <c r="AN58" s="23">
        <f t="shared" si="228"/>
        <v>1085</v>
      </c>
      <c r="AO58" s="23">
        <f t="shared" si="228"/>
        <v>736</v>
      </c>
      <c r="AP58" s="23">
        <f t="shared" si="228"/>
        <v>638</v>
      </c>
      <c r="AQ58" s="22">
        <f t="shared" si="228"/>
        <v>872</v>
      </c>
      <c r="AR58" s="23">
        <f t="shared" si="228"/>
        <v>860</v>
      </c>
      <c r="AS58" s="23">
        <f t="shared" si="228"/>
        <v>933</v>
      </c>
      <c r="AT58" s="23">
        <f t="shared" si="228"/>
        <v>1003</v>
      </c>
      <c r="AU58" s="22">
        <f t="shared" si="197"/>
        <v>1063</v>
      </c>
      <c r="AV58" s="23">
        <f t="shared" si="197"/>
        <v>1156</v>
      </c>
      <c r="AW58" s="23">
        <f t="shared" si="197"/>
        <v>942</v>
      </c>
      <c r="AX58" s="23">
        <f t="shared" si="197"/>
        <v>1146</v>
      </c>
      <c r="AY58" s="22">
        <f t="shared" si="197"/>
        <v>1053</v>
      </c>
      <c r="AZ58" s="23">
        <f t="shared" si="197"/>
        <v>1339</v>
      </c>
      <c r="BA58" s="26">
        <f t="shared" si="197"/>
        <v>1249</v>
      </c>
      <c r="BB58" s="23">
        <f t="shared" si="197"/>
        <v>1066</v>
      </c>
      <c r="BC58" s="22">
        <f t="shared" si="197"/>
        <v>1198</v>
      </c>
      <c r="BD58" s="23">
        <f t="shared" si="197"/>
        <v>1283</v>
      </c>
      <c r="BE58" s="23">
        <f t="shared" si="197"/>
        <v>937</v>
      </c>
      <c r="BF58" s="23"/>
      <c r="BG58" s="22"/>
      <c r="BH58" s="23"/>
      <c r="BI58" s="23"/>
      <c r="BJ58" s="23"/>
      <c r="BK58" s="23"/>
      <c r="BL58" s="29">
        <f t="shared" si="198"/>
        <v>3310</v>
      </c>
      <c r="BM58" s="23">
        <f t="shared" si="199"/>
        <v>3668</v>
      </c>
      <c r="BN58" s="23">
        <f t="shared" si="200"/>
        <v>4307</v>
      </c>
      <c r="BO58" s="23">
        <f t="shared" si="201"/>
        <v>4707</v>
      </c>
      <c r="BP58" s="23">
        <f t="shared" si="202"/>
        <v>3418</v>
      </c>
      <c r="BQ58" s="23"/>
      <c r="BR58" s="23">
        <f t="shared" si="203"/>
        <v>4787</v>
      </c>
      <c r="BS58" s="30">
        <f t="shared" si="204"/>
        <v>4484</v>
      </c>
      <c r="BT58" s="31">
        <f t="shared" si="205"/>
        <v>827.5</v>
      </c>
      <c r="BU58" s="31">
        <f t="shared" si="206"/>
        <v>917</v>
      </c>
      <c r="BV58" s="31">
        <f t="shared" si="207"/>
        <v>1076.75</v>
      </c>
      <c r="BW58" s="31">
        <f t="shared" si="208"/>
        <v>1176.75</v>
      </c>
      <c r="BX58" s="31">
        <f t="shared" si="209"/>
        <v>1139.3333333333333</v>
      </c>
      <c r="BY58" s="32">
        <f t="shared" si="210"/>
        <v>1013.6818181818181</v>
      </c>
      <c r="BZ58" s="33"/>
      <c r="CA58" s="34">
        <f t="shared" si="211"/>
        <v>-0.26968043647700701</v>
      </c>
      <c r="CB58" s="34">
        <f t="shared" si="212"/>
        <v>-0.24979983987189747</v>
      </c>
      <c r="CC58" s="34">
        <f t="shared" si="213"/>
        <v>-7.5646831980628604E-2</v>
      </c>
      <c r="CD58" s="34">
        <f t="shared" si="214"/>
        <v>-6.329642782536038E-2</v>
      </c>
      <c r="CE58" s="33"/>
      <c r="CF58" s="34">
        <f t="shared" si="215"/>
        <v>0.12395557747784114</v>
      </c>
      <c r="CG58" s="33"/>
      <c r="CH58" s="34">
        <f t="shared" si="216"/>
        <v>0.10815709969788512</v>
      </c>
      <c r="CI58" s="34">
        <f t="shared" si="216"/>
        <v>0.17420937840785178</v>
      </c>
      <c r="CJ58" s="34">
        <f t="shared" si="216"/>
        <v>9.2872068725330825E-2</v>
      </c>
      <c r="CK58" s="34">
        <f t="shared" si="216"/>
        <v>-0.27384746122795833</v>
      </c>
    </row>
    <row r="59" spans="2:89" s="8" customFormat="1">
      <c r="B59" s="8" t="s">
        <v>70</v>
      </c>
      <c r="C59" s="76">
        <f t="shared" si="217"/>
        <v>5016.0929999999998</v>
      </c>
      <c r="D59" s="76">
        <f t="shared" si="218"/>
        <v>6758.7910000000002</v>
      </c>
      <c r="E59" s="76">
        <f t="shared" si="219"/>
        <v>7972.8130000000001</v>
      </c>
      <c r="F59" s="76">
        <f t="shared" si="220"/>
        <v>6123</v>
      </c>
      <c r="G59" s="76">
        <f t="shared" si="221"/>
        <v>6994</v>
      </c>
      <c r="H59" s="76">
        <f t="shared" si="222"/>
        <v>6186</v>
      </c>
      <c r="I59" s="76">
        <f t="shared" si="223"/>
        <v>5859</v>
      </c>
      <c r="J59" s="76">
        <f t="shared" si="224"/>
        <v>5769</v>
      </c>
      <c r="K59" s="76">
        <f t="shared" si="225"/>
        <v>6331</v>
      </c>
      <c r="L59" s="76">
        <f t="shared" si="226"/>
        <v>6570</v>
      </c>
      <c r="M59" s="76">
        <f t="shared" si="227"/>
        <v>5198</v>
      </c>
      <c r="O59" s="63">
        <v>1247.027</v>
      </c>
      <c r="P59" s="64">
        <v>1170.2670000000001</v>
      </c>
      <c r="Q59" s="64">
        <v>1207.799</v>
      </c>
      <c r="R59" s="64">
        <v>1391</v>
      </c>
      <c r="S59" s="63">
        <v>1436.3920000000001</v>
      </c>
      <c r="T59" s="64">
        <v>1690.654</v>
      </c>
      <c r="U59" s="64">
        <v>1692.624</v>
      </c>
      <c r="V59" s="64">
        <v>1939.1210000000001</v>
      </c>
      <c r="W59" s="63">
        <v>2045.2559999999999</v>
      </c>
      <c r="X59" s="64">
        <v>2285.6680000000001</v>
      </c>
      <c r="Y59" s="64">
        <v>1636.432</v>
      </c>
      <c r="Z59" s="64">
        <v>2005.4569999999999</v>
      </c>
      <c r="AA59" s="63">
        <v>1422</v>
      </c>
      <c r="AB59" s="23">
        <f t="shared" si="195"/>
        <v>1735</v>
      </c>
      <c r="AC59" s="23">
        <f t="shared" si="195"/>
        <v>1593</v>
      </c>
      <c r="AD59" s="23">
        <f t="shared" si="195"/>
        <v>1373</v>
      </c>
      <c r="AE59" s="22">
        <f t="shared" si="195"/>
        <v>1380</v>
      </c>
      <c r="AF59" s="23">
        <f t="shared" si="195"/>
        <v>2239</v>
      </c>
      <c r="AG59" s="23">
        <f t="shared" si="195"/>
        <v>1658</v>
      </c>
      <c r="AH59" s="23">
        <f t="shared" si="195"/>
        <v>1717</v>
      </c>
      <c r="AI59" s="22">
        <f t="shared" si="228"/>
        <v>1446</v>
      </c>
      <c r="AJ59" s="23">
        <f t="shared" si="228"/>
        <v>1405</v>
      </c>
      <c r="AK59" s="23">
        <f t="shared" si="228"/>
        <v>1502</v>
      </c>
      <c r="AL59" s="23">
        <f t="shared" si="228"/>
        <v>1833</v>
      </c>
      <c r="AM59" s="22">
        <f t="shared" si="228"/>
        <v>1779</v>
      </c>
      <c r="AN59" s="23">
        <f t="shared" si="228"/>
        <v>1922</v>
      </c>
      <c r="AO59" s="23">
        <f t="shared" si="228"/>
        <v>1039</v>
      </c>
      <c r="AP59" s="23">
        <f t="shared" si="228"/>
        <v>1119</v>
      </c>
      <c r="AQ59" s="22">
        <f t="shared" si="228"/>
        <v>1375</v>
      </c>
      <c r="AR59" s="23">
        <f t="shared" si="228"/>
        <v>1245</v>
      </c>
      <c r="AS59" s="23">
        <f t="shared" si="228"/>
        <v>1429</v>
      </c>
      <c r="AT59" s="23">
        <f t="shared" si="228"/>
        <v>1720</v>
      </c>
      <c r="AU59" s="22">
        <f t="shared" si="197"/>
        <v>1433</v>
      </c>
      <c r="AV59" s="23">
        <f t="shared" si="197"/>
        <v>1717</v>
      </c>
      <c r="AW59" s="23">
        <f t="shared" si="197"/>
        <v>1510</v>
      </c>
      <c r="AX59" s="23">
        <f t="shared" si="197"/>
        <v>1671</v>
      </c>
      <c r="AY59" s="22">
        <f t="shared" si="197"/>
        <v>1444</v>
      </c>
      <c r="AZ59" s="23">
        <f>AZ14+AZ29+AZ44</f>
        <v>1773</v>
      </c>
      <c r="BA59" s="26">
        <f>BA14+BA29+BA44</f>
        <v>1542</v>
      </c>
      <c r="BB59" s="23">
        <f t="shared" si="197"/>
        <v>1811</v>
      </c>
      <c r="BC59" s="22">
        <f t="shared" si="197"/>
        <v>1761</v>
      </c>
      <c r="BD59" s="23">
        <f t="shared" si="197"/>
        <v>1825</v>
      </c>
      <c r="BE59" s="23">
        <f t="shared" si="197"/>
        <v>1612</v>
      </c>
      <c r="BF59" s="23"/>
      <c r="BG59" s="22"/>
      <c r="BH59" s="23"/>
      <c r="BI59" s="23"/>
      <c r="BJ59" s="23"/>
      <c r="BK59" s="23"/>
      <c r="BL59" s="29">
        <f t="shared" si="198"/>
        <v>5859</v>
      </c>
      <c r="BM59" s="23">
        <f t="shared" si="199"/>
        <v>5769</v>
      </c>
      <c r="BN59" s="23">
        <f t="shared" si="200"/>
        <v>6331</v>
      </c>
      <c r="BO59" s="23">
        <f t="shared" si="201"/>
        <v>6570</v>
      </c>
      <c r="BP59" s="23">
        <f t="shared" si="202"/>
        <v>5198</v>
      </c>
      <c r="BQ59" s="23"/>
      <c r="BR59" s="23">
        <f t="shared" si="203"/>
        <v>6430</v>
      </c>
      <c r="BS59" s="30">
        <f t="shared" si="204"/>
        <v>7009</v>
      </c>
      <c r="BT59" s="31">
        <f t="shared" si="205"/>
        <v>1464.75</v>
      </c>
      <c r="BU59" s="31">
        <f t="shared" si="206"/>
        <v>1442.25</v>
      </c>
      <c r="BV59" s="31">
        <f t="shared" si="207"/>
        <v>1582.75</v>
      </c>
      <c r="BW59" s="31">
        <f t="shared" si="208"/>
        <v>1642.5</v>
      </c>
      <c r="BX59" s="31">
        <f t="shared" si="209"/>
        <v>1732.6666666666667</v>
      </c>
      <c r="BY59" s="32">
        <f t="shared" si="210"/>
        <v>1559.1363636363637</v>
      </c>
      <c r="BZ59" s="33"/>
      <c r="CA59" s="34">
        <f t="shared" si="211"/>
        <v>-0.11671232876712334</v>
      </c>
      <c r="CB59" s="34">
        <f t="shared" si="212"/>
        <v>4.5395590142671916E-2</v>
      </c>
      <c r="CC59" s="34">
        <f t="shared" si="213"/>
        <v>3.3905717034488747E-2</v>
      </c>
      <c r="CD59" s="34">
        <f t="shared" si="214"/>
        <v>9.0046656298600203E-2</v>
      </c>
      <c r="CE59" s="33"/>
      <c r="CF59" s="34">
        <f t="shared" si="215"/>
        <v>0.111298990311264</v>
      </c>
      <c r="CG59" s="33"/>
      <c r="CH59" s="34">
        <f t="shared" si="216"/>
        <v>-1.5360983102918557E-2</v>
      </c>
      <c r="CI59" s="34">
        <f t="shared" si="216"/>
        <v>9.7417230022534218E-2</v>
      </c>
      <c r="CJ59" s="34">
        <f t="shared" si="216"/>
        <v>3.7750750276417611E-2</v>
      </c>
      <c r="CK59" s="34">
        <f t="shared" si="216"/>
        <v>-0.20882800608828012</v>
      </c>
    </row>
    <row r="60" spans="2:89" s="8" customFormat="1">
      <c r="B60" s="36" t="s">
        <v>76</v>
      </c>
      <c r="C60" s="76">
        <f>SUM(O60:R60)</f>
        <v>4348.4186</v>
      </c>
      <c r="D60" s="76">
        <f>SUM(S60:V60)</f>
        <v>5665.1581999999999</v>
      </c>
      <c r="E60" s="76">
        <f>SUM(W60:Z60)</f>
        <v>6799.3626000000004</v>
      </c>
      <c r="F60" s="76">
        <f>SUM(AA60:AD60)</f>
        <v>4641.6000000000004</v>
      </c>
      <c r="G60" s="76">
        <f>SUM(AE60:AH60)</f>
        <v>5185.2</v>
      </c>
      <c r="H60" s="76">
        <f>SUM(AI60:AL60)</f>
        <v>4905</v>
      </c>
      <c r="I60" s="76">
        <f>SUM(AM60:AP60)</f>
        <v>4667.8</v>
      </c>
      <c r="J60" s="76">
        <f>SUM(AQ60:AT60)</f>
        <v>4749.6000000000004</v>
      </c>
      <c r="K60" s="76">
        <f>SUM(AU60:AX60)</f>
        <v>5485</v>
      </c>
      <c r="L60" s="76">
        <f>SUM(AY60:BB60)</f>
        <v>5844.8</v>
      </c>
      <c r="M60" s="76">
        <f>SUM(BC60:BE60)</f>
        <v>4470.2000000000007</v>
      </c>
      <c r="N60" s="47"/>
      <c r="O60" s="37">
        <f t="shared" ref="O60:BE60" si="229">AVERAGE(O55:O59)</f>
        <v>992.60540000000003</v>
      </c>
      <c r="P60" s="38">
        <f t="shared" si="229"/>
        <v>1000.8534</v>
      </c>
      <c r="Q60" s="38">
        <f t="shared" si="229"/>
        <v>1124.7598</v>
      </c>
      <c r="R60" s="38">
        <f t="shared" si="229"/>
        <v>1230.2</v>
      </c>
      <c r="S60" s="37">
        <f t="shared" si="229"/>
        <v>1300.8784000000001</v>
      </c>
      <c r="T60" s="38">
        <f t="shared" si="229"/>
        <v>1424.7308</v>
      </c>
      <c r="U60" s="38">
        <f t="shared" si="229"/>
        <v>1308.7248</v>
      </c>
      <c r="V60" s="38">
        <f t="shared" si="229"/>
        <v>1630.8242</v>
      </c>
      <c r="W60" s="37">
        <f t="shared" si="229"/>
        <v>1722.8511999999998</v>
      </c>
      <c r="X60" s="38">
        <f t="shared" si="229"/>
        <v>1920.5336</v>
      </c>
      <c r="Y60" s="38">
        <f t="shared" si="229"/>
        <v>1460.6864</v>
      </c>
      <c r="Z60" s="38">
        <f t="shared" si="229"/>
        <v>1695.2914000000001</v>
      </c>
      <c r="AA60" s="37">
        <f t="shared" si="229"/>
        <v>1147.2</v>
      </c>
      <c r="AB60" s="38">
        <f t="shared" si="229"/>
        <v>1506</v>
      </c>
      <c r="AC60" s="38">
        <f t="shared" si="229"/>
        <v>1130.8</v>
      </c>
      <c r="AD60" s="38">
        <f t="shared" si="229"/>
        <v>857.6</v>
      </c>
      <c r="AE60" s="37">
        <f t="shared" si="229"/>
        <v>1027.5999999999999</v>
      </c>
      <c r="AF60" s="38">
        <f t="shared" si="229"/>
        <v>1541.6</v>
      </c>
      <c r="AG60" s="38">
        <f t="shared" si="229"/>
        <v>1218.5999999999999</v>
      </c>
      <c r="AH60" s="38">
        <f t="shared" si="229"/>
        <v>1397.4</v>
      </c>
      <c r="AI60" s="37">
        <f t="shared" si="229"/>
        <v>1161.8</v>
      </c>
      <c r="AJ60" s="38">
        <f t="shared" si="229"/>
        <v>1041.2</v>
      </c>
      <c r="AK60" s="38">
        <f t="shared" si="229"/>
        <v>1181</v>
      </c>
      <c r="AL60" s="38">
        <f t="shared" si="229"/>
        <v>1521</v>
      </c>
      <c r="AM60" s="37">
        <f t="shared" si="229"/>
        <v>1304</v>
      </c>
      <c r="AN60" s="38">
        <f t="shared" si="229"/>
        <v>1534.2</v>
      </c>
      <c r="AO60" s="38">
        <f t="shared" si="229"/>
        <v>904.8</v>
      </c>
      <c r="AP60" s="38">
        <f t="shared" si="229"/>
        <v>924.8</v>
      </c>
      <c r="AQ60" s="37">
        <f t="shared" si="229"/>
        <v>1107</v>
      </c>
      <c r="AR60" s="38">
        <f t="shared" si="229"/>
        <v>1074</v>
      </c>
      <c r="AS60" s="38">
        <f t="shared" si="229"/>
        <v>1172</v>
      </c>
      <c r="AT60" s="38">
        <f t="shared" si="229"/>
        <v>1396.6</v>
      </c>
      <c r="AU60" s="37">
        <f t="shared" si="229"/>
        <v>1322.2</v>
      </c>
      <c r="AV60" s="38">
        <f t="shared" si="229"/>
        <v>1421.6</v>
      </c>
      <c r="AW60" s="38">
        <f t="shared" si="229"/>
        <v>1200.5999999999999</v>
      </c>
      <c r="AX60" s="38">
        <f t="shared" si="229"/>
        <v>1540.6</v>
      </c>
      <c r="AY60" s="37">
        <f t="shared" si="229"/>
        <v>1407.2</v>
      </c>
      <c r="AZ60" s="38">
        <f t="shared" si="229"/>
        <v>1598.8</v>
      </c>
      <c r="BA60" s="39">
        <f t="shared" si="229"/>
        <v>1402</v>
      </c>
      <c r="BB60" s="38">
        <f t="shared" si="229"/>
        <v>1436.8</v>
      </c>
      <c r="BC60" s="37">
        <f t="shared" si="229"/>
        <v>1518.2</v>
      </c>
      <c r="BD60" s="38">
        <f t="shared" si="229"/>
        <v>1629.4</v>
      </c>
      <c r="BE60" s="38">
        <f t="shared" si="229"/>
        <v>1322.6</v>
      </c>
      <c r="BF60" s="38"/>
      <c r="BG60" s="37"/>
      <c r="BH60" s="38"/>
      <c r="BI60" s="38"/>
      <c r="BJ60" s="38"/>
      <c r="BK60" s="23"/>
      <c r="BL60" s="42">
        <f t="shared" si="198"/>
        <v>4667.8</v>
      </c>
      <c r="BM60" s="38">
        <f t="shared" si="199"/>
        <v>4749.6000000000004</v>
      </c>
      <c r="BN60" s="38">
        <f t="shared" si="200"/>
        <v>5485</v>
      </c>
      <c r="BO60" s="38">
        <f t="shared" si="201"/>
        <v>5844.8</v>
      </c>
      <c r="BP60" s="38">
        <f t="shared" si="202"/>
        <v>4470.2000000000007</v>
      </c>
      <c r="BQ60" s="23"/>
      <c r="BR60" s="38">
        <f t="shared" si="203"/>
        <v>5948.6</v>
      </c>
      <c r="BS60" s="43">
        <f t="shared" si="204"/>
        <v>5907</v>
      </c>
      <c r="BT60" s="44">
        <f t="shared" si="205"/>
        <v>1166.95</v>
      </c>
      <c r="BU60" s="44">
        <f t="shared" si="206"/>
        <v>1187.4000000000001</v>
      </c>
      <c r="BV60" s="44">
        <f t="shared" si="207"/>
        <v>1371.25</v>
      </c>
      <c r="BW60" s="44">
        <f t="shared" si="208"/>
        <v>1461.2</v>
      </c>
      <c r="BX60" s="44">
        <f t="shared" si="209"/>
        <v>1490.0666666666668</v>
      </c>
      <c r="BY60" s="45">
        <f t="shared" si="210"/>
        <v>1309.0818181818181</v>
      </c>
      <c r="BZ60" s="33"/>
      <c r="CA60" s="46">
        <f t="shared" si="211"/>
        <v>-0.18829016816005906</v>
      </c>
      <c r="CB60" s="46">
        <f t="shared" si="212"/>
        <v>-5.6633380884450801E-2</v>
      </c>
      <c r="CC60" s="46">
        <f t="shared" si="213"/>
        <v>1.032646060042075E-2</v>
      </c>
      <c r="CD60" s="46">
        <f t="shared" si="214"/>
        <v>-6.9932421073867213E-3</v>
      </c>
      <c r="CE60" s="33"/>
      <c r="CF60" s="46">
        <f t="shared" si="215"/>
        <v>0.13825327490700179</v>
      </c>
      <c r="CG60" s="33"/>
      <c r="CH60" s="46">
        <f t="shared" si="216"/>
        <v>1.7524315523372858E-2</v>
      </c>
      <c r="CI60" s="46">
        <f t="shared" si="216"/>
        <v>0.15483409129189818</v>
      </c>
      <c r="CJ60" s="46">
        <f t="shared" si="216"/>
        <v>6.5597082953509522E-2</v>
      </c>
      <c r="CK60" s="46">
        <f t="shared" si="216"/>
        <v>-0.2351834108951546</v>
      </c>
    </row>
    <row r="61" spans="2:89" s="8" customForma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56"/>
      <c r="P61" s="57"/>
      <c r="Q61" s="57"/>
      <c r="R61" s="57"/>
      <c r="S61" s="56"/>
      <c r="T61" s="57"/>
      <c r="U61" s="57"/>
      <c r="V61" s="57"/>
      <c r="W61" s="56"/>
      <c r="X61" s="57"/>
      <c r="Y61" s="57"/>
      <c r="Z61" s="57"/>
      <c r="AA61" s="56"/>
      <c r="AB61" s="57"/>
      <c r="AC61" s="57"/>
      <c r="AD61" s="57"/>
      <c r="AE61" s="56"/>
      <c r="AF61" s="57"/>
      <c r="AG61" s="57"/>
      <c r="AH61" s="57"/>
      <c r="AI61" s="56"/>
      <c r="AJ61" s="57"/>
      <c r="AK61" s="57"/>
      <c r="AL61" s="57"/>
      <c r="AM61" s="56"/>
      <c r="AN61" s="57"/>
      <c r="AO61" s="57"/>
      <c r="AP61" s="57"/>
      <c r="AQ61" s="56"/>
      <c r="AR61" s="57"/>
      <c r="AS61" s="57"/>
      <c r="AT61" s="57"/>
      <c r="AU61" s="56"/>
      <c r="AV61" s="57"/>
      <c r="AW61" s="57"/>
      <c r="AX61" s="57"/>
      <c r="AY61" s="56"/>
      <c r="AZ61" s="57"/>
      <c r="BA61" s="58"/>
      <c r="BB61" s="57"/>
      <c r="BC61" s="56"/>
      <c r="BD61" s="57"/>
      <c r="BE61" s="57"/>
      <c r="BF61" s="57"/>
      <c r="BG61" s="56"/>
      <c r="BH61" s="57"/>
      <c r="BI61" s="57"/>
      <c r="BJ61" s="57"/>
      <c r="BK61" s="57"/>
      <c r="BL61" s="59"/>
      <c r="BM61" s="57"/>
      <c r="BN61" s="23"/>
      <c r="BO61" s="23"/>
      <c r="BP61" s="23"/>
      <c r="BQ61" s="57"/>
      <c r="BR61" s="57"/>
      <c r="BS61" s="60"/>
      <c r="BT61" s="33"/>
      <c r="BU61" s="33"/>
      <c r="BV61" s="33"/>
      <c r="BW61" s="33"/>
      <c r="BX61" s="33"/>
      <c r="BY61" s="61"/>
      <c r="BZ61" s="33"/>
      <c r="CA61" s="34"/>
      <c r="CB61" s="34"/>
      <c r="CC61" s="34"/>
      <c r="CD61" s="34"/>
      <c r="CE61" s="33"/>
      <c r="CF61" s="34"/>
      <c r="CG61" s="33"/>
      <c r="CH61" s="34"/>
      <c r="CI61" s="34"/>
      <c r="CJ61" s="34"/>
      <c r="CK61" s="34"/>
    </row>
    <row r="62" spans="2:89" s="8" customFormat="1" hidden="1" outlineLevel="1">
      <c r="B62" s="8" t="s">
        <v>71</v>
      </c>
      <c r="O62" s="63">
        <v>1035.5820382812499</v>
      </c>
      <c r="P62" s="64">
        <v>925.09550999999988</v>
      </c>
      <c r="Q62" s="64">
        <v>1174.7706174242423</v>
      </c>
      <c r="R62" s="64">
        <v>1169.3134499999999</v>
      </c>
      <c r="S62" s="63">
        <v>1287.2851138461538</v>
      </c>
      <c r="T62" s="64">
        <v>1213.0320369230769</v>
      </c>
      <c r="U62" s="64">
        <v>1134.7972892307694</v>
      </c>
      <c r="V62" s="64">
        <v>1275.8130984615384</v>
      </c>
      <c r="W62" s="63">
        <v>1450.1840553846155</v>
      </c>
      <c r="X62" s="64">
        <v>1759.7279769230768</v>
      </c>
      <c r="Y62" s="64">
        <v>1698.7082330769231</v>
      </c>
      <c r="Z62" s="64">
        <v>1466.7217477272727</v>
      </c>
      <c r="AA62" s="63">
        <v>1334.8111899999999</v>
      </c>
      <c r="AB62" s="64">
        <v>1324.3343384615384</v>
      </c>
      <c r="AC62" s="64">
        <v>1160.1650909090908</v>
      </c>
      <c r="AD62" s="64">
        <v>455.26616666666672</v>
      </c>
      <c r="AE62" s="63">
        <v>481.30392187500007</v>
      </c>
      <c r="AF62" s="64">
        <v>1165.7853876923077</v>
      </c>
      <c r="AG62" s="64">
        <v>753.15223636363646</v>
      </c>
      <c r="AH62" s="64">
        <v>1050.5197606060603</v>
      </c>
      <c r="AI62" s="63">
        <v>867.24880000000007</v>
      </c>
      <c r="AJ62" s="64">
        <v>687.99639999999999</v>
      </c>
      <c r="AK62" s="64">
        <v>776.90070000000003</v>
      </c>
      <c r="AL62" s="64">
        <v>1145.4275</v>
      </c>
      <c r="AM62" s="63">
        <v>981.03599999999994</v>
      </c>
      <c r="AN62" s="64">
        <v>848.32799999999997</v>
      </c>
      <c r="AO62" s="64">
        <v>626.21219999999994</v>
      </c>
      <c r="AP62" s="64">
        <v>796.24160000000006</v>
      </c>
      <c r="AQ62" s="63">
        <v>800.09710000000007</v>
      </c>
      <c r="AR62" s="64">
        <v>793</v>
      </c>
      <c r="AS62" s="64">
        <f>423*1.574103488</f>
        <v>665.84577542399995</v>
      </c>
      <c r="AT62" s="64">
        <f>663*1.6062</f>
        <v>1064.9106000000002</v>
      </c>
      <c r="AU62" s="63">
        <f>649*1.5525</f>
        <v>1007.5725</v>
      </c>
      <c r="AV62" s="64">
        <f>629*1.5355</f>
        <v>965.82950000000005</v>
      </c>
      <c r="AW62" s="64">
        <f>568*1.5505</f>
        <v>880.68399999999997</v>
      </c>
      <c r="AX62" s="64">
        <f>639*1.618899</f>
        <v>1034.476461</v>
      </c>
      <c r="AY62" s="63">
        <f>616*1.65512698412698</f>
        <v>1019.5582222222197</v>
      </c>
      <c r="AZ62" s="64">
        <f>727*1.68338</f>
        <v>1223.81726</v>
      </c>
      <c r="BA62" s="65">
        <f>547*1.6215</f>
        <v>886.96050000000002</v>
      </c>
      <c r="BB62" s="64">
        <f>638*1.58331307692308</f>
        <v>1010.1537430769251</v>
      </c>
      <c r="BC62" s="63">
        <f>632*1.51386984126984</f>
        <v>956.76573968253888</v>
      </c>
      <c r="BD62" s="64">
        <f>708*1.53311904761905</f>
        <v>1085.4482857142873</v>
      </c>
      <c r="BE62" s="64">
        <f>657*1.54871287878788</f>
        <v>1017.5043613636373</v>
      </c>
      <c r="BF62" s="64"/>
      <c r="BG62" s="63"/>
      <c r="BH62" s="64"/>
      <c r="BI62" s="64"/>
      <c r="BJ62" s="64"/>
      <c r="BK62" s="23"/>
      <c r="BL62" s="29">
        <f t="shared" ref="BL62:BL67" si="230">SUM(AM62:AP62)</f>
        <v>3251.8177999999998</v>
      </c>
      <c r="BM62" s="23">
        <f t="shared" ref="BM62:BM67" si="231">SUM(AQ62:AT62)</f>
        <v>3323.853475424</v>
      </c>
      <c r="BN62" s="23">
        <f t="shared" ref="BN62:BN67" si="232">SUM(AU62:AX62)</f>
        <v>3888.5624610000004</v>
      </c>
      <c r="BO62" s="23">
        <f t="shared" ref="BO62:BO67" si="233">SUM(AY62:BB62)</f>
        <v>4140.489725299145</v>
      </c>
      <c r="BP62" s="23">
        <f t="shared" ref="BP62:BP67" si="234">SUM(BC62:BF62)</f>
        <v>3059.7183867604635</v>
      </c>
      <c r="BQ62" s="23"/>
      <c r="BR62" s="23">
        <f t="shared" ref="BR62:BR67" si="235">SUM(AX62:BA62)</f>
        <v>4164.8124432222194</v>
      </c>
      <c r="BS62" s="30">
        <f t="shared" ref="BS62:BS67" si="236">SUM(BB62:BE62)</f>
        <v>4069.8721298373885</v>
      </c>
      <c r="BT62" s="31">
        <f t="shared" ref="BT62:BT67" si="237">AVERAGE(AM62:AP62)</f>
        <v>812.95444999999995</v>
      </c>
      <c r="BU62" s="31">
        <f t="shared" ref="BU62:BU67" si="238">AVERAGE(AQ62:AT62)</f>
        <v>830.96336885599999</v>
      </c>
      <c r="BV62" s="31">
        <f t="shared" ref="BV62:BV67" si="239">AVERAGE(AU62:AX62)</f>
        <v>972.14061525000011</v>
      </c>
      <c r="BW62" s="31">
        <f t="shared" ref="BW62:BW67" si="240">AVERAGE(AY62:BB62)</f>
        <v>1035.1224313247862</v>
      </c>
      <c r="BX62" s="31">
        <f t="shared" ref="BX62:BX67" si="241">AVERAGE(BC62:BF62)</f>
        <v>1019.9061289201545</v>
      </c>
      <c r="BY62" s="32">
        <f t="shared" ref="BY62:BY67" si="242">AVERAGE(AI62:BD62)</f>
        <v>914.75049486908949</v>
      </c>
      <c r="BZ62" s="33"/>
      <c r="CA62" s="34">
        <f t="shared" ref="CA62:CA67" si="243">BE62/BD62-1</f>
        <v>-6.259526616317701E-2</v>
      </c>
      <c r="CB62" s="34">
        <f t="shared" ref="CB62:CB67" si="244">BE62/BA62-1</f>
        <v>0.14718114432788965</v>
      </c>
      <c r="CC62" s="34">
        <f t="shared" ref="CC62:CC67" si="245">BE62/BY62-1</f>
        <v>0.11232993813165737</v>
      </c>
      <c r="CD62" s="34">
        <f t="shared" ref="CD62:CD67" si="246">BS62/BR62-1</f>
        <v>-2.2795819662740358E-2</v>
      </c>
      <c r="CE62" s="33"/>
      <c r="CF62" s="34">
        <f t="shared" ref="CF62:CF67" si="247">BX62/BY62-1</f>
        <v>0.11495553666370406</v>
      </c>
      <c r="CG62" s="33"/>
      <c r="CH62" s="34">
        <f t="shared" ref="CH62:CK67" si="248">BM62/BL62-1</f>
        <v>2.2152432840486957E-2</v>
      </c>
      <c r="CI62" s="34">
        <f t="shared" si="248"/>
        <v>0.16989587229141168</v>
      </c>
      <c r="CJ62" s="34">
        <f t="shared" si="248"/>
        <v>6.4786734641870236E-2</v>
      </c>
      <c r="CK62" s="34">
        <f t="shared" si="248"/>
        <v>-0.26102500193032052</v>
      </c>
    </row>
    <row r="63" spans="2:89" s="8" customFormat="1" hidden="1" outlineLevel="1">
      <c r="B63" s="8" t="s">
        <v>73</v>
      </c>
      <c r="O63" s="22">
        <f t="shared" ref="O63:AY65" si="249">O18+O33+O48</f>
        <v>537.3200824650271</v>
      </c>
      <c r="P63" s="23">
        <f t="shared" si="249"/>
        <v>787.79507003091999</v>
      </c>
      <c r="Q63" s="23">
        <f t="shared" si="249"/>
        <v>867.12346712461192</v>
      </c>
      <c r="R63" s="23">
        <f t="shared" si="249"/>
        <v>910.79001248032932</v>
      </c>
      <c r="S63" s="22">
        <f t="shared" si="249"/>
        <v>801.10271193632843</v>
      </c>
      <c r="T63" s="23">
        <f t="shared" si="249"/>
        <v>1071.6551477028111</v>
      </c>
      <c r="U63" s="23">
        <f t="shared" si="249"/>
        <v>850.25269849903316</v>
      </c>
      <c r="V63" s="23">
        <f t="shared" si="249"/>
        <v>1582.8753724974201</v>
      </c>
      <c r="W63" s="22">
        <f t="shared" si="249"/>
        <v>1304.4133961662715</v>
      </c>
      <c r="X63" s="23">
        <f t="shared" si="249"/>
        <v>1389.8854107085322</v>
      </c>
      <c r="Y63" s="23">
        <f t="shared" si="249"/>
        <v>653.93761262732335</v>
      </c>
      <c r="Z63" s="23">
        <f t="shared" si="249"/>
        <v>1053.3397723297339</v>
      </c>
      <c r="AA63" s="22">
        <f t="shared" si="249"/>
        <v>673.06629570096925</v>
      </c>
      <c r="AB63" s="23">
        <f t="shared" si="249"/>
        <v>796.2652717268578</v>
      </c>
      <c r="AC63" s="23">
        <f t="shared" si="249"/>
        <v>548.71748041450689</v>
      </c>
      <c r="AD63" s="23">
        <f t="shared" si="249"/>
        <v>440.25567544725084</v>
      </c>
      <c r="AE63" s="22">
        <f t="shared" si="249"/>
        <v>390.79929137664737</v>
      </c>
      <c r="AF63" s="23">
        <f t="shared" si="249"/>
        <v>633.02309071111745</v>
      </c>
      <c r="AG63" s="23">
        <f t="shared" si="249"/>
        <v>733.56858098913199</v>
      </c>
      <c r="AH63" s="23">
        <f t="shared" si="249"/>
        <v>1168.9476757885166</v>
      </c>
      <c r="AI63" s="22">
        <f t="shared" si="249"/>
        <v>817.25312145289445</v>
      </c>
      <c r="AJ63" s="23">
        <f t="shared" si="249"/>
        <v>877.76274244474519</v>
      </c>
      <c r="AK63" s="23">
        <f t="shared" si="249"/>
        <v>850.69276232923164</v>
      </c>
      <c r="AL63" s="23">
        <f t="shared" si="249"/>
        <v>1261.9463570033913</v>
      </c>
      <c r="AM63" s="22">
        <f t="shared" si="249"/>
        <v>974.28814279643007</v>
      </c>
      <c r="AN63" s="23">
        <f t="shared" si="249"/>
        <v>1089.9057254541274</v>
      </c>
      <c r="AO63" s="23">
        <f t="shared" si="249"/>
        <v>725.70874727404896</v>
      </c>
      <c r="AP63" s="23">
        <f t="shared" si="249"/>
        <v>557.86935554581328</v>
      </c>
      <c r="AQ63" s="22">
        <f t="shared" si="249"/>
        <v>800.86814975583297</v>
      </c>
      <c r="AR63" s="23">
        <f t="shared" si="249"/>
        <v>669.58564715933358</v>
      </c>
      <c r="AS63" s="23">
        <f t="shared" si="249"/>
        <v>897.84890366829472</v>
      </c>
      <c r="AT63" s="23">
        <f t="shared" si="249"/>
        <v>1054.779806659506</v>
      </c>
      <c r="AU63" s="22">
        <f t="shared" si="249"/>
        <v>820.07738607050737</v>
      </c>
      <c r="AV63" s="23">
        <f t="shared" si="249"/>
        <v>964.04708876869233</v>
      </c>
      <c r="AW63" s="23">
        <f t="shared" si="249"/>
        <v>756.27385480829264</v>
      </c>
      <c r="AX63" s="23">
        <f t="shared" si="249"/>
        <v>1050.8935917638291</v>
      </c>
      <c r="AY63" s="22">
        <f t="shared" si="249"/>
        <v>930.61907953093112</v>
      </c>
      <c r="AZ63" s="23">
        <f>'[5]IB Data'!$X$86</f>
        <v>0</v>
      </c>
      <c r="BA63" s="26">
        <f t="shared" ref="BA63:BE65" si="250">BA18+BA33+BA48</f>
        <v>945.44099999999958</v>
      </c>
      <c r="BB63" s="23">
        <f t="shared" si="250"/>
        <v>776.84511685387679</v>
      </c>
      <c r="BC63" s="22">
        <f t="shared" si="250"/>
        <v>647.32943924260928</v>
      </c>
      <c r="BD63" s="23">
        <f t="shared" si="250"/>
        <v>971.03194277215164</v>
      </c>
      <c r="BE63" s="23">
        <f t="shared" si="250"/>
        <v>643.88562157777324</v>
      </c>
      <c r="BF63" s="23"/>
      <c r="BG63" s="22"/>
      <c r="BH63" s="23"/>
      <c r="BI63" s="23"/>
      <c r="BJ63" s="23"/>
      <c r="BK63" s="23"/>
      <c r="BL63" s="29">
        <f t="shared" si="230"/>
        <v>3347.7719710704196</v>
      </c>
      <c r="BM63" s="23">
        <f t="shared" si="231"/>
        <v>3423.082507242967</v>
      </c>
      <c r="BN63" s="23">
        <f t="shared" si="232"/>
        <v>3591.2919214113213</v>
      </c>
      <c r="BO63" s="23">
        <f t="shared" si="233"/>
        <v>2652.9051963848074</v>
      </c>
      <c r="BP63" s="23">
        <f t="shared" si="234"/>
        <v>2262.2470035925344</v>
      </c>
      <c r="BQ63" s="23"/>
      <c r="BR63" s="23">
        <f t="shared" si="235"/>
        <v>2926.9536712947602</v>
      </c>
      <c r="BS63" s="30">
        <f t="shared" si="236"/>
        <v>3039.0921204464107</v>
      </c>
      <c r="BT63" s="31">
        <f t="shared" si="237"/>
        <v>836.94299276760489</v>
      </c>
      <c r="BU63" s="31">
        <f t="shared" si="238"/>
        <v>855.77062681074176</v>
      </c>
      <c r="BV63" s="31">
        <f t="shared" si="239"/>
        <v>897.82298035283031</v>
      </c>
      <c r="BW63" s="31">
        <f t="shared" si="240"/>
        <v>663.22629909620184</v>
      </c>
      <c r="BX63" s="31">
        <f t="shared" si="241"/>
        <v>754.08233453084483</v>
      </c>
      <c r="BY63" s="32">
        <f t="shared" si="242"/>
        <v>838.23036187975185</v>
      </c>
      <c r="BZ63" s="33"/>
      <c r="CA63" s="34">
        <f t="shared" si="243"/>
        <v>-0.33690582851520245</v>
      </c>
      <c r="CB63" s="34">
        <f t="shared" si="244"/>
        <v>-0.31895737377819078</v>
      </c>
      <c r="CC63" s="34">
        <f t="shared" si="245"/>
        <v>-0.2318512298530393</v>
      </c>
      <c r="CD63" s="34">
        <f t="shared" si="246"/>
        <v>3.8312341685287077E-2</v>
      </c>
      <c r="CE63" s="33"/>
      <c r="CF63" s="34">
        <f t="shared" si="247"/>
        <v>-0.10038771103471256</v>
      </c>
      <c r="CG63" s="33"/>
      <c r="CH63" s="34">
        <f t="shared" si="248"/>
        <v>2.2495718592347114E-2</v>
      </c>
      <c r="CI63" s="34">
        <f t="shared" si="248"/>
        <v>4.9139748695053775E-2</v>
      </c>
      <c r="CJ63" s="34">
        <f t="shared" si="248"/>
        <v>-0.26129502851935871</v>
      </c>
      <c r="CK63" s="34">
        <f t="shared" si="248"/>
        <v>-0.14725674830922508</v>
      </c>
    </row>
    <row r="64" spans="2:89" s="8" customFormat="1" hidden="1" outlineLevel="1">
      <c r="B64" s="8" t="s">
        <v>74</v>
      </c>
      <c r="O64" s="22">
        <f t="shared" si="249"/>
        <v>668.43628124999998</v>
      </c>
      <c r="P64" s="23">
        <f t="shared" si="249"/>
        <v>689.93874461538599</v>
      </c>
      <c r="Q64" s="23">
        <f t="shared" si="249"/>
        <v>696.7445818181809</v>
      </c>
      <c r="R64" s="23">
        <f t="shared" si="249"/>
        <v>759.94107230768986</v>
      </c>
      <c r="S64" s="22">
        <f t="shared" si="249"/>
        <v>815.91041538461377</v>
      </c>
      <c r="T64" s="23">
        <f t="shared" si="249"/>
        <v>914.85344461538125</v>
      </c>
      <c r="U64" s="23">
        <f t="shared" si="249"/>
        <v>818.28233538461723</v>
      </c>
      <c r="V64" s="23">
        <f t="shared" si="249"/>
        <v>1088.7392246153809</v>
      </c>
      <c r="W64" s="22">
        <f t="shared" si="249"/>
        <v>1044.9503784615422</v>
      </c>
      <c r="X64" s="23">
        <f t="shared" si="249"/>
        <v>1206.7092230769217</v>
      </c>
      <c r="Y64" s="23">
        <f t="shared" si="249"/>
        <v>204.81081538461535</v>
      </c>
      <c r="Z64" s="23">
        <f t="shared" si="249"/>
        <v>1193.4840969696966</v>
      </c>
      <c r="AA64" s="22">
        <f t="shared" si="249"/>
        <v>-1755.5559938461583</v>
      </c>
      <c r="AB64" s="23">
        <f t="shared" si="249"/>
        <v>609.64739999999938</v>
      </c>
      <c r="AC64" s="23">
        <f t="shared" si="249"/>
        <v>-148.89524999999952</v>
      </c>
      <c r="AD64" s="23">
        <f t="shared" si="249"/>
        <v>1438.9502878787889</v>
      </c>
      <c r="AE64" s="22">
        <f t="shared" si="249"/>
        <v>455.90578906250005</v>
      </c>
      <c r="AF64" s="23">
        <f t="shared" si="249"/>
        <v>986.83316307692257</v>
      </c>
      <c r="AG64" s="23">
        <f t="shared" si="249"/>
        <v>908.20490151515185</v>
      </c>
      <c r="AH64" s="23">
        <f t="shared" si="249"/>
        <v>714.69566666666697</v>
      </c>
      <c r="AI64" s="22">
        <f t="shared" si="249"/>
        <v>779.64240000000007</v>
      </c>
      <c r="AJ64" s="23">
        <f t="shared" si="249"/>
        <v>691.29329999999993</v>
      </c>
      <c r="AK64" s="23">
        <f t="shared" si="249"/>
        <v>728.51880000000006</v>
      </c>
      <c r="AL64" s="23">
        <f t="shared" si="249"/>
        <v>1099.5928000000001</v>
      </c>
      <c r="AM64" s="22">
        <f t="shared" si="249"/>
        <v>982.72659999999996</v>
      </c>
      <c r="AN64" s="23">
        <f t="shared" si="249"/>
        <v>1027.7316000000001</v>
      </c>
      <c r="AO64" s="23">
        <f t="shared" si="249"/>
        <v>530.09999999999991</v>
      </c>
      <c r="AP64" s="23">
        <f t="shared" si="249"/>
        <v>579.72600000000011</v>
      </c>
      <c r="AQ64" s="22">
        <f t="shared" si="249"/>
        <v>836.67319999999995</v>
      </c>
      <c r="AR64" s="23">
        <f t="shared" si="249"/>
        <v>653.35239999999999</v>
      </c>
      <c r="AS64" s="23">
        <f t="shared" si="249"/>
        <v>845.87880000000007</v>
      </c>
      <c r="AT64" s="23">
        <f t="shared" si="249"/>
        <v>909.54750000000013</v>
      </c>
      <c r="AU64" s="22">
        <f t="shared" si="249"/>
        <v>889.8148000000001</v>
      </c>
      <c r="AV64" s="23">
        <f t="shared" si="249"/>
        <v>962.30089999999996</v>
      </c>
      <c r="AW64" s="23">
        <f t="shared" si="249"/>
        <v>870.14393999999993</v>
      </c>
      <c r="AX64" s="23">
        <f t="shared" si="249"/>
        <v>954.32597800000008</v>
      </c>
      <c r="AY64" s="22">
        <f t="shared" si="249"/>
        <v>856.2258211746007</v>
      </c>
      <c r="AZ64" s="23">
        <f>'[5]IB Data'!$X$96</f>
        <v>0</v>
      </c>
      <c r="BA64" s="26">
        <f t="shared" si="250"/>
        <v>876.8586653133716</v>
      </c>
      <c r="BB64" s="23">
        <f t="shared" si="250"/>
        <v>925.04266061538647</v>
      </c>
      <c r="BC64" s="22">
        <f t="shared" si="250"/>
        <v>882.54153242063751</v>
      </c>
      <c r="BD64" s="23">
        <f t="shared" si="250"/>
        <v>944.07470430952185</v>
      </c>
      <c r="BE64" s="23">
        <f t="shared" si="250"/>
        <v>707.04360909091054</v>
      </c>
      <c r="BF64" s="23"/>
      <c r="BG64" s="22"/>
      <c r="BH64" s="23"/>
      <c r="BI64" s="23"/>
      <c r="BJ64" s="23"/>
      <c r="BK64" s="23"/>
      <c r="BL64" s="29">
        <f t="shared" si="230"/>
        <v>3120.2842000000001</v>
      </c>
      <c r="BM64" s="23">
        <f t="shared" si="231"/>
        <v>3245.4519</v>
      </c>
      <c r="BN64" s="23">
        <f t="shared" si="232"/>
        <v>3676.5856180000001</v>
      </c>
      <c r="BO64" s="23">
        <f t="shared" si="233"/>
        <v>2658.1271471033588</v>
      </c>
      <c r="BP64" s="23">
        <f t="shared" si="234"/>
        <v>2533.6598458210701</v>
      </c>
      <c r="BQ64" s="23"/>
      <c r="BR64" s="23">
        <f t="shared" si="235"/>
        <v>2687.4104644879726</v>
      </c>
      <c r="BS64" s="30">
        <f t="shared" si="236"/>
        <v>3458.7025064364561</v>
      </c>
      <c r="BT64" s="31">
        <f t="shared" si="237"/>
        <v>780.07105000000001</v>
      </c>
      <c r="BU64" s="31">
        <f t="shared" si="238"/>
        <v>811.36297500000001</v>
      </c>
      <c r="BV64" s="31">
        <f t="shared" si="239"/>
        <v>919.14640450000002</v>
      </c>
      <c r="BW64" s="31">
        <f t="shared" si="240"/>
        <v>664.53178677583969</v>
      </c>
      <c r="BX64" s="31">
        <f t="shared" si="241"/>
        <v>844.55328194035667</v>
      </c>
      <c r="BY64" s="32">
        <f t="shared" si="242"/>
        <v>810.2778364469782</v>
      </c>
      <c r="BZ64" s="33"/>
      <c r="CA64" s="34">
        <f t="shared" si="243"/>
        <v>-0.25107239303903528</v>
      </c>
      <c r="CB64" s="34">
        <f t="shared" si="244"/>
        <v>-0.1936629732247358</v>
      </c>
      <c r="CC64" s="34">
        <f t="shared" si="245"/>
        <v>-0.12740596214348376</v>
      </c>
      <c r="CD64" s="34">
        <f t="shared" si="246"/>
        <v>0.28700194932650014</v>
      </c>
      <c r="CE64" s="33"/>
      <c r="CF64" s="34">
        <f t="shared" si="247"/>
        <v>4.2300855276597771E-2</v>
      </c>
      <c r="CG64" s="33"/>
      <c r="CH64" s="34">
        <f t="shared" si="248"/>
        <v>4.0114198572040349E-2</v>
      </c>
      <c r="CI64" s="34">
        <f t="shared" si="248"/>
        <v>0.13284243035615484</v>
      </c>
      <c r="CJ64" s="34">
        <f t="shared" si="248"/>
        <v>-0.27701203690468257</v>
      </c>
      <c r="CK64" s="34">
        <f t="shared" si="248"/>
        <v>-4.6825187206685936E-2</v>
      </c>
    </row>
    <row r="65" spans="2:89" s="8" customFormat="1" hidden="1" outlineLevel="1">
      <c r="B65" s="8" t="s">
        <v>75</v>
      </c>
      <c r="O65" s="22">
        <f t="shared" si="249"/>
        <v>752.24811545103785</v>
      </c>
      <c r="P65" s="23">
        <f t="shared" si="249"/>
        <v>915.30233725994253</v>
      </c>
      <c r="Q65" s="23">
        <f t="shared" si="249"/>
        <v>815.44012249467778</v>
      </c>
      <c r="R65" s="23">
        <f t="shared" si="249"/>
        <v>1032.2888109443547</v>
      </c>
      <c r="S65" s="22">
        <f t="shared" si="249"/>
        <v>878.65643154066834</v>
      </c>
      <c r="T65" s="23">
        <f t="shared" si="249"/>
        <v>1100.402449782312</v>
      </c>
      <c r="U65" s="23">
        <f t="shared" si="249"/>
        <v>1050.0222383527557</v>
      </c>
      <c r="V65" s="23">
        <f t="shared" si="249"/>
        <v>1431.3064421152778</v>
      </c>
      <c r="W65" s="22">
        <f t="shared" si="249"/>
        <v>1169.3791122016323</v>
      </c>
      <c r="X65" s="23">
        <f t="shared" si="249"/>
        <v>1798.9443360711089</v>
      </c>
      <c r="Y65" s="23">
        <f t="shared" si="249"/>
        <v>1351.9997258715432</v>
      </c>
      <c r="Z65" s="23">
        <f t="shared" si="249"/>
        <v>1512.5272175555683</v>
      </c>
      <c r="AA65" s="22">
        <f t="shared" si="249"/>
        <v>604.15449949536378</v>
      </c>
      <c r="AB65" s="23">
        <f t="shared" si="249"/>
        <v>1097.0583870766941</v>
      </c>
      <c r="AC65" s="23">
        <f t="shared" si="249"/>
        <v>811.44549071863662</v>
      </c>
      <c r="AD65" s="23">
        <f t="shared" si="249"/>
        <v>621.81445736345268</v>
      </c>
      <c r="AE65" s="22">
        <f t="shared" si="249"/>
        <v>601.10426024244157</v>
      </c>
      <c r="AF65" s="23">
        <f t="shared" si="249"/>
        <v>860.36537457718327</v>
      </c>
      <c r="AG65" s="23">
        <f t="shared" si="249"/>
        <v>771.5082130806195</v>
      </c>
      <c r="AH65" s="23">
        <f t="shared" si="249"/>
        <v>751.92979841749309</v>
      </c>
      <c r="AI65" s="22">
        <f t="shared" si="249"/>
        <v>646.04615966704512</v>
      </c>
      <c r="AJ65" s="23">
        <f t="shared" si="249"/>
        <v>499.77447000451059</v>
      </c>
      <c r="AK65" s="23">
        <f t="shared" si="249"/>
        <v>564.86774537351039</v>
      </c>
      <c r="AL65" s="23">
        <f t="shared" si="249"/>
        <v>1049.2241290720378</v>
      </c>
      <c r="AM65" s="22">
        <f t="shared" si="249"/>
        <v>716.10709732256691</v>
      </c>
      <c r="AN65" s="23">
        <f t="shared" si="249"/>
        <v>685.21499195217291</v>
      </c>
      <c r="AO65" s="23">
        <f t="shared" si="249"/>
        <v>568.20935304094985</v>
      </c>
      <c r="AP65" s="23">
        <f t="shared" si="249"/>
        <v>641.41523768178854</v>
      </c>
      <c r="AQ65" s="22">
        <f t="shared" si="249"/>
        <v>691.26424308193168</v>
      </c>
      <c r="AR65" s="23">
        <f t="shared" si="249"/>
        <v>560.65783853054245</v>
      </c>
      <c r="AS65" s="23">
        <f t="shared" si="249"/>
        <v>609.99688246908443</v>
      </c>
      <c r="AT65" s="23">
        <f t="shared" si="249"/>
        <v>721.3506943402374</v>
      </c>
      <c r="AU65" s="22">
        <f t="shared" si="249"/>
        <v>930.80747010614004</v>
      </c>
      <c r="AV65" s="23">
        <f t="shared" si="249"/>
        <v>679.81758404920993</v>
      </c>
      <c r="AW65" s="23">
        <f t="shared" si="249"/>
        <v>495.60073889564705</v>
      </c>
      <c r="AX65" s="23">
        <f t="shared" si="249"/>
        <v>718.6835577604536</v>
      </c>
      <c r="AY65" s="22">
        <f t="shared" si="249"/>
        <v>730.16081811572462</v>
      </c>
      <c r="AZ65" s="23">
        <f>'[5]IB Data'!$X$76</f>
        <v>0</v>
      </c>
      <c r="BA65" s="26">
        <f t="shared" si="250"/>
        <v>588.41399999999976</v>
      </c>
      <c r="BB65" s="23">
        <f t="shared" si="250"/>
        <v>658.6070082806566</v>
      </c>
      <c r="BC65" s="22">
        <f t="shared" si="250"/>
        <v>651.52606445649985</v>
      </c>
      <c r="BD65" s="23">
        <f t="shared" si="250"/>
        <v>744.74112897514033</v>
      </c>
      <c r="BE65" s="23">
        <f t="shared" si="250"/>
        <v>594.19995944027585</v>
      </c>
      <c r="BF65" s="23"/>
      <c r="BG65" s="22"/>
      <c r="BH65" s="23"/>
      <c r="BI65" s="23"/>
      <c r="BJ65" s="23"/>
      <c r="BK65" s="23"/>
      <c r="BL65" s="29">
        <f t="shared" si="230"/>
        <v>2610.946679997478</v>
      </c>
      <c r="BM65" s="23">
        <f t="shared" si="231"/>
        <v>2583.2696584217956</v>
      </c>
      <c r="BN65" s="23">
        <f t="shared" si="232"/>
        <v>2824.9093508114502</v>
      </c>
      <c r="BO65" s="23">
        <f t="shared" si="233"/>
        <v>1977.181826396381</v>
      </c>
      <c r="BP65" s="23">
        <f t="shared" si="234"/>
        <v>1990.4671528719159</v>
      </c>
      <c r="BQ65" s="23"/>
      <c r="BR65" s="23">
        <f t="shared" si="235"/>
        <v>2037.258375876178</v>
      </c>
      <c r="BS65" s="30">
        <f t="shared" si="236"/>
        <v>2649.0741611525727</v>
      </c>
      <c r="BT65" s="31">
        <f t="shared" si="237"/>
        <v>652.7366699993695</v>
      </c>
      <c r="BU65" s="31">
        <f t="shared" si="238"/>
        <v>645.8174146054489</v>
      </c>
      <c r="BV65" s="31">
        <f t="shared" si="239"/>
        <v>706.22733770286254</v>
      </c>
      <c r="BW65" s="31">
        <f t="shared" si="240"/>
        <v>494.29545659909525</v>
      </c>
      <c r="BX65" s="31">
        <f t="shared" si="241"/>
        <v>663.48905095730527</v>
      </c>
      <c r="BY65" s="32">
        <f t="shared" si="242"/>
        <v>643.29487332617498</v>
      </c>
      <c r="BZ65" s="33"/>
      <c r="CA65" s="34">
        <f t="shared" si="243"/>
        <v>-0.20213892274491208</v>
      </c>
      <c r="CB65" s="34">
        <f t="shared" si="244"/>
        <v>9.8331437394012511E-3</v>
      </c>
      <c r="CC65" s="34">
        <f t="shared" si="245"/>
        <v>-7.6317900113290871E-2</v>
      </c>
      <c r="CD65" s="34">
        <f t="shared" si="246"/>
        <v>0.30031329973708742</v>
      </c>
      <c r="CE65" s="33"/>
      <c r="CF65" s="34">
        <f t="shared" si="247"/>
        <v>3.1391790092645477E-2</v>
      </c>
      <c r="CG65" s="33"/>
      <c r="CH65" s="34">
        <f t="shared" si="248"/>
        <v>-1.0600377934837479E-2</v>
      </c>
      <c r="CI65" s="34">
        <f t="shared" si="248"/>
        <v>9.3540251054270662E-2</v>
      </c>
      <c r="CJ65" s="34">
        <f t="shared" si="248"/>
        <v>-0.30009016897181529</v>
      </c>
      <c r="CK65" s="34">
        <f t="shared" si="248"/>
        <v>6.7193245953249825E-3</v>
      </c>
    </row>
    <row r="66" spans="2:89" s="8" customFormat="1" hidden="1" outlineLevel="1">
      <c r="B66" s="47" t="s">
        <v>76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37">
        <f t="shared" ref="O66:AH66" si="251">AVERAGE(O62:O65)</f>
        <v>748.39662936182867</v>
      </c>
      <c r="P66" s="38">
        <f t="shared" si="251"/>
        <v>829.53291547656204</v>
      </c>
      <c r="Q66" s="38">
        <f t="shared" si="251"/>
        <v>888.51969721542821</v>
      </c>
      <c r="R66" s="38">
        <f t="shared" si="251"/>
        <v>968.08333643309345</v>
      </c>
      <c r="S66" s="37">
        <f t="shared" si="251"/>
        <v>945.73866817694102</v>
      </c>
      <c r="T66" s="38">
        <f t="shared" si="251"/>
        <v>1074.9857697558955</v>
      </c>
      <c r="U66" s="38">
        <f t="shared" si="251"/>
        <v>963.33864036679381</v>
      </c>
      <c r="V66" s="38">
        <f t="shared" si="251"/>
        <v>1344.6835344224044</v>
      </c>
      <c r="W66" s="37">
        <f t="shared" si="251"/>
        <v>1242.2317355535154</v>
      </c>
      <c r="X66" s="38">
        <f t="shared" si="251"/>
        <v>1538.8167366949097</v>
      </c>
      <c r="Y66" s="38">
        <f t="shared" si="251"/>
        <v>977.3640967401011</v>
      </c>
      <c r="Z66" s="38">
        <f t="shared" si="251"/>
        <v>1306.5182086455679</v>
      </c>
      <c r="AA66" s="37">
        <f t="shared" si="251"/>
        <v>214.11899783754365</v>
      </c>
      <c r="AB66" s="38">
        <f t="shared" si="251"/>
        <v>956.8263493162724</v>
      </c>
      <c r="AC66" s="38">
        <f t="shared" si="251"/>
        <v>592.85820301055878</v>
      </c>
      <c r="AD66" s="38">
        <f t="shared" si="251"/>
        <v>739.07164683903977</v>
      </c>
      <c r="AE66" s="37">
        <f t="shared" si="251"/>
        <v>482.27831563914725</v>
      </c>
      <c r="AF66" s="38">
        <f t="shared" si="251"/>
        <v>911.50175401438287</v>
      </c>
      <c r="AG66" s="38">
        <f t="shared" si="251"/>
        <v>791.60848298713495</v>
      </c>
      <c r="AH66" s="38">
        <f t="shared" si="251"/>
        <v>921.52322536968427</v>
      </c>
      <c r="AI66" s="37">
        <f>AVERAGE(AI62:AI65)</f>
        <v>777.54762027998493</v>
      </c>
      <c r="AJ66" s="38">
        <f t="shared" ref="AJ66:AL66" si="252">AVERAGE(AJ62:AJ65)</f>
        <v>689.20672811231384</v>
      </c>
      <c r="AK66" s="38">
        <f t="shared" si="252"/>
        <v>730.24500192568553</v>
      </c>
      <c r="AL66" s="38">
        <f t="shared" si="252"/>
        <v>1139.0476965188573</v>
      </c>
      <c r="AM66" s="37">
        <f>AVERAGE(AM62:AM65)</f>
        <v>913.53946002974919</v>
      </c>
      <c r="AN66" s="38">
        <f t="shared" ref="AN66:AP66" si="253">AVERAGE(AN62:AN65)</f>
        <v>912.79507935157505</v>
      </c>
      <c r="AO66" s="38">
        <f t="shared" si="253"/>
        <v>612.55757507874966</v>
      </c>
      <c r="AP66" s="38">
        <f t="shared" si="253"/>
        <v>643.81304830690055</v>
      </c>
      <c r="AQ66" s="37">
        <f>AVERAGE(AQ62:AQ65)</f>
        <v>782.22567320944108</v>
      </c>
      <c r="AR66" s="38">
        <f t="shared" ref="AR66:AT66" si="254">AVERAGE(AR62:AR65)</f>
        <v>669.148971422469</v>
      </c>
      <c r="AS66" s="38">
        <f t="shared" si="254"/>
        <v>754.89259039034482</v>
      </c>
      <c r="AT66" s="38">
        <f t="shared" si="254"/>
        <v>937.64715024993598</v>
      </c>
      <c r="AU66" s="37">
        <f>AVERAGE(AU62:AU65)</f>
        <v>912.06803904416188</v>
      </c>
      <c r="AV66" s="38">
        <f t="shared" ref="AV66:BE66" si="255">AVERAGE(AV62:AV65)</f>
        <v>892.9987682044756</v>
      </c>
      <c r="AW66" s="38">
        <f t="shared" si="255"/>
        <v>750.67563342598487</v>
      </c>
      <c r="AX66" s="38">
        <f t="shared" si="255"/>
        <v>939.59489713107064</v>
      </c>
      <c r="AY66" s="37">
        <f t="shared" si="255"/>
        <v>884.140985260869</v>
      </c>
      <c r="AZ66" s="38">
        <f t="shared" si="255"/>
        <v>305.95431500000001</v>
      </c>
      <c r="BA66" s="39">
        <f t="shared" si="255"/>
        <v>824.41854132834271</v>
      </c>
      <c r="BB66" s="38">
        <f t="shared" si="255"/>
        <v>842.66213220671125</v>
      </c>
      <c r="BC66" s="37">
        <f t="shared" si="255"/>
        <v>784.54069395057127</v>
      </c>
      <c r="BD66" s="38">
        <f t="shared" si="255"/>
        <v>936.32401544277525</v>
      </c>
      <c r="BE66" s="39">
        <f t="shared" si="255"/>
        <v>740.65838786814925</v>
      </c>
      <c r="BF66" s="38"/>
      <c r="BG66" s="37"/>
      <c r="BH66" s="38"/>
      <c r="BI66" s="38"/>
      <c r="BJ66" s="38"/>
      <c r="BK66" s="23"/>
      <c r="BL66" s="42">
        <f t="shared" si="230"/>
        <v>3082.7051627669744</v>
      </c>
      <c r="BM66" s="38">
        <f t="shared" si="231"/>
        <v>3143.9143852721909</v>
      </c>
      <c r="BN66" s="38">
        <f t="shared" si="232"/>
        <v>3495.3373378056931</v>
      </c>
      <c r="BO66" s="38">
        <f t="shared" si="233"/>
        <v>2857.1759737959228</v>
      </c>
      <c r="BP66" s="38">
        <f t="shared" si="234"/>
        <v>2461.5230972614954</v>
      </c>
      <c r="BQ66" s="23"/>
      <c r="BR66" s="38">
        <f t="shared" si="235"/>
        <v>2954.1087387202824</v>
      </c>
      <c r="BS66" s="43">
        <f t="shared" si="236"/>
        <v>3304.1852294682067</v>
      </c>
      <c r="BT66" s="44">
        <f t="shared" si="237"/>
        <v>770.67629069174359</v>
      </c>
      <c r="BU66" s="44">
        <f t="shared" si="238"/>
        <v>785.97859631804772</v>
      </c>
      <c r="BV66" s="44">
        <f t="shared" si="239"/>
        <v>873.83433445142327</v>
      </c>
      <c r="BW66" s="44">
        <f t="shared" si="240"/>
        <v>714.2939934489807</v>
      </c>
      <c r="BX66" s="44">
        <f t="shared" si="241"/>
        <v>820.50769908716518</v>
      </c>
      <c r="BY66" s="45">
        <f t="shared" si="242"/>
        <v>801.63839163049852</v>
      </c>
      <c r="BZ66" s="33"/>
      <c r="CA66" s="46">
        <f t="shared" si="243"/>
        <v>-0.20897213394884284</v>
      </c>
      <c r="CB66" s="46">
        <f t="shared" si="244"/>
        <v>-0.10159906559747567</v>
      </c>
      <c r="CC66" s="46">
        <f t="shared" si="245"/>
        <v>-7.6069215744917762E-2</v>
      </c>
      <c r="CD66" s="46">
        <f t="shared" si="246"/>
        <v>0.11850494403248568</v>
      </c>
      <c r="CE66" s="33"/>
      <c r="CF66" s="46">
        <f t="shared" si="247"/>
        <v>2.3538427866818257E-2</v>
      </c>
      <c r="CG66" s="33"/>
      <c r="CH66" s="46">
        <f t="shared" si="248"/>
        <v>1.9855684949862784E-2</v>
      </c>
      <c r="CI66" s="46">
        <f t="shared" si="248"/>
        <v>0.11177879212607023</v>
      </c>
      <c r="CJ66" s="46">
        <f t="shared" si="248"/>
        <v>-0.18257504278840109</v>
      </c>
      <c r="CK66" s="46">
        <f t="shared" si="248"/>
        <v>-0.13847690172502036</v>
      </c>
    </row>
    <row r="67" spans="2:89" s="8" customFormat="1" hidden="1" outlineLevel="1">
      <c r="B67" s="36" t="s">
        <v>77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>
        <f t="shared" ref="O67:AH67" si="256">AVERAGE(O55:O59,O62:O65)</f>
        <v>884.06816860525726</v>
      </c>
      <c r="P67" s="38">
        <f t="shared" si="256"/>
        <v>924.71096243402769</v>
      </c>
      <c r="Q67" s="38">
        <f t="shared" si="256"/>
        <v>1019.7641987624125</v>
      </c>
      <c r="R67" s="38">
        <f t="shared" si="256"/>
        <v>1113.7037050813751</v>
      </c>
      <c r="S67" s="37">
        <f t="shared" si="256"/>
        <v>1143.0385191897517</v>
      </c>
      <c r="T67" s="38">
        <f t="shared" si="256"/>
        <v>1269.2885643359537</v>
      </c>
      <c r="U67" s="38">
        <f t="shared" si="256"/>
        <v>1155.2198401630196</v>
      </c>
      <c r="V67" s="38">
        <f t="shared" si="256"/>
        <v>1503.6505708544018</v>
      </c>
      <c r="W67" s="37">
        <f t="shared" si="256"/>
        <v>1509.2425491348959</v>
      </c>
      <c r="X67" s="38">
        <f t="shared" si="256"/>
        <v>1750.8816607532931</v>
      </c>
      <c r="Y67" s="38">
        <f t="shared" si="256"/>
        <v>1245.8764874400449</v>
      </c>
      <c r="Z67" s="38">
        <f t="shared" si="256"/>
        <v>1522.5033149535859</v>
      </c>
      <c r="AA67" s="37">
        <f t="shared" si="256"/>
        <v>732.49733237224166</v>
      </c>
      <c r="AB67" s="38">
        <f t="shared" si="256"/>
        <v>1261.9228219183433</v>
      </c>
      <c r="AC67" s="38">
        <f t="shared" si="256"/>
        <v>891.71475689358169</v>
      </c>
      <c r="AD67" s="38">
        <f t="shared" si="256"/>
        <v>804.92073192846203</v>
      </c>
      <c r="AE67" s="37">
        <f t="shared" si="256"/>
        <v>785.23480695073204</v>
      </c>
      <c r="AF67" s="38">
        <f t="shared" si="256"/>
        <v>1261.5563351175033</v>
      </c>
      <c r="AG67" s="38">
        <f t="shared" si="256"/>
        <v>1028.8259924387266</v>
      </c>
      <c r="AH67" s="38">
        <f t="shared" si="256"/>
        <v>1185.8992112754152</v>
      </c>
      <c r="AI67" s="37">
        <f>AVERAGE(AI55:AI59,AI62:AI65)</f>
        <v>991.02116456888223</v>
      </c>
      <c r="AJ67" s="38">
        <f t="shared" ref="AJ67:BE67" si="257">AVERAGE(AJ55:AJ59,AJ62:AJ65)</f>
        <v>884.75854582769512</v>
      </c>
      <c r="AK67" s="38">
        <f t="shared" si="257"/>
        <v>980.66444530030481</v>
      </c>
      <c r="AL67" s="38">
        <f t="shared" si="257"/>
        <v>1351.2434206750477</v>
      </c>
      <c r="AM67" s="37">
        <f t="shared" si="257"/>
        <v>1130.4619822354441</v>
      </c>
      <c r="AN67" s="38">
        <f t="shared" si="257"/>
        <v>1258.0200352673664</v>
      </c>
      <c r="AO67" s="38">
        <f t="shared" si="257"/>
        <v>774.91447781277759</v>
      </c>
      <c r="AP67" s="38">
        <f t="shared" si="257"/>
        <v>799.91691035862243</v>
      </c>
      <c r="AQ67" s="37">
        <f t="shared" si="257"/>
        <v>962.65585475975161</v>
      </c>
      <c r="AR67" s="38">
        <f t="shared" si="257"/>
        <v>894.06620952109733</v>
      </c>
      <c r="AS67" s="38">
        <f t="shared" si="257"/>
        <v>986.6189290623754</v>
      </c>
      <c r="AT67" s="38">
        <f t="shared" si="257"/>
        <v>1192.6209556666381</v>
      </c>
      <c r="AU67" s="37">
        <f t="shared" si="257"/>
        <v>1139.9191284640719</v>
      </c>
      <c r="AV67" s="38">
        <f t="shared" si="257"/>
        <v>1186.666119201989</v>
      </c>
      <c r="AW67" s="38">
        <f t="shared" si="257"/>
        <v>1000.6336148559933</v>
      </c>
      <c r="AX67" s="38">
        <f t="shared" si="257"/>
        <v>1273.4866209471427</v>
      </c>
      <c r="AY67" s="37">
        <f t="shared" si="257"/>
        <v>1174.7293267826085</v>
      </c>
      <c r="AZ67" s="38">
        <f t="shared" si="257"/>
        <v>1024.2019177777777</v>
      </c>
      <c r="BA67" s="39">
        <f t="shared" si="257"/>
        <v>1145.2971294792635</v>
      </c>
      <c r="BB67" s="38">
        <f t="shared" si="257"/>
        <v>1172.7387254252051</v>
      </c>
      <c r="BC67" s="37">
        <f t="shared" si="257"/>
        <v>1192.1291973113648</v>
      </c>
      <c r="BD67" s="38">
        <f t="shared" si="257"/>
        <v>1321.3662290856778</v>
      </c>
      <c r="BE67" s="39">
        <f t="shared" si="257"/>
        <v>1063.9592834969551</v>
      </c>
      <c r="BF67" s="38"/>
      <c r="BG67" s="37"/>
      <c r="BH67" s="38"/>
      <c r="BI67" s="38"/>
      <c r="BJ67" s="38"/>
      <c r="BK67" s="23"/>
      <c r="BL67" s="42">
        <f t="shared" si="230"/>
        <v>3963.3134056742106</v>
      </c>
      <c r="BM67" s="38">
        <f t="shared" si="231"/>
        <v>4035.9619490098621</v>
      </c>
      <c r="BN67" s="38">
        <f t="shared" si="232"/>
        <v>4600.7054834691971</v>
      </c>
      <c r="BO67" s="38">
        <f t="shared" si="233"/>
        <v>4516.967099464855</v>
      </c>
      <c r="BP67" s="38">
        <f t="shared" si="234"/>
        <v>3577.4547098939975</v>
      </c>
      <c r="BQ67" s="23"/>
      <c r="BR67" s="38">
        <f t="shared" si="235"/>
        <v>4617.7149949867917</v>
      </c>
      <c r="BS67" s="43">
        <f t="shared" si="236"/>
        <v>4750.1934353192028</v>
      </c>
      <c r="BT67" s="44">
        <f t="shared" si="237"/>
        <v>990.82835141855264</v>
      </c>
      <c r="BU67" s="44">
        <f t="shared" si="238"/>
        <v>1008.9904872524655</v>
      </c>
      <c r="BV67" s="44">
        <f t="shared" si="239"/>
        <v>1150.1763708672993</v>
      </c>
      <c r="BW67" s="44">
        <f t="shared" si="240"/>
        <v>1129.2417748662137</v>
      </c>
      <c r="BX67" s="44">
        <f t="shared" si="241"/>
        <v>1192.4849032979992</v>
      </c>
      <c r="BY67" s="45">
        <f t="shared" si="242"/>
        <v>1083.5514063812318</v>
      </c>
      <c r="BZ67" s="33"/>
      <c r="CA67" s="46">
        <f t="shared" si="243"/>
        <v>-0.19480363575421178</v>
      </c>
      <c r="CB67" s="46">
        <f t="shared" si="244"/>
        <v>-7.1018990521080405E-2</v>
      </c>
      <c r="CC67" s="46">
        <f t="shared" si="245"/>
        <v>-1.8081396755977752E-2</v>
      </c>
      <c r="CD67" s="46">
        <f t="shared" si="246"/>
        <v>2.8689176459836929E-2</v>
      </c>
      <c r="CE67" s="33"/>
      <c r="CF67" s="46">
        <f t="shared" si="247"/>
        <v>0.10053375988922908</v>
      </c>
      <c r="CG67" s="33"/>
      <c r="CH67" s="46">
        <f t="shared" si="248"/>
        <v>1.8330254486471409E-2</v>
      </c>
      <c r="CI67" s="46">
        <f t="shared" si="248"/>
        <v>0.13992786393783585</v>
      </c>
      <c r="CJ67" s="46">
        <f t="shared" si="248"/>
        <v>-1.8201205077182814E-2</v>
      </c>
      <c r="CK67" s="46">
        <f t="shared" si="248"/>
        <v>-0.20799628796990033</v>
      </c>
    </row>
    <row r="68" spans="2:89" s="8" customFormat="1" hidden="1" outlineLevel="1">
      <c r="O68" s="56"/>
      <c r="P68" s="57"/>
      <c r="Q68" s="57"/>
      <c r="R68" s="57"/>
      <c r="S68" s="56"/>
      <c r="T68" s="57"/>
      <c r="U68" s="57"/>
      <c r="V68" s="57"/>
      <c r="W68" s="56"/>
      <c r="X68" s="57"/>
      <c r="Y68" s="57"/>
      <c r="Z68" s="57"/>
      <c r="AA68" s="56"/>
      <c r="AB68" s="57"/>
      <c r="AC68" s="57"/>
      <c r="AD68" s="57"/>
      <c r="AE68" s="56"/>
      <c r="AF68" s="57"/>
      <c r="AG68" s="57"/>
      <c r="AH68" s="57"/>
      <c r="AI68" s="56"/>
      <c r="AJ68" s="57"/>
      <c r="AK68" s="57"/>
      <c r="AL68" s="57"/>
      <c r="AM68" s="56"/>
      <c r="AN68" s="57"/>
      <c r="AO68" s="57"/>
      <c r="AP68" s="57"/>
      <c r="AQ68" s="56"/>
      <c r="AR68" s="57"/>
      <c r="AS68" s="57"/>
      <c r="AT68" s="57"/>
      <c r="AU68" s="56"/>
      <c r="AV68" s="57"/>
      <c r="AW68" s="57"/>
      <c r="AX68" s="57"/>
      <c r="AY68" s="56"/>
      <c r="AZ68" s="57"/>
      <c r="BA68" s="58"/>
      <c r="BB68" s="57"/>
      <c r="BC68" s="56"/>
      <c r="BD68" s="57"/>
      <c r="BE68" s="57"/>
      <c r="BF68" s="57"/>
      <c r="BG68" s="56"/>
      <c r="BH68" s="57"/>
      <c r="BI68" s="57"/>
      <c r="BJ68" s="57"/>
      <c r="BK68" s="57"/>
      <c r="BL68" s="59"/>
      <c r="BM68" s="57"/>
      <c r="BN68" s="57"/>
      <c r="BO68" s="57"/>
      <c r="BP68" s="57"/>
      <c r="BQ68" s="57"/>
      <c r="BR68" s="57"/>
      <c r="BS68" s="60"/>
      <c r="BT68" s="33"/>
      <c r="BU68" s="33"/>
      <c r="BV68" s="33"/>
      <c r="BW68" s="33"/>
      <c r="BX68" s="33"/>
      <c r="BY68" s="61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</row>
    <row r="69" spans="2:89" collapsed="1">
      <c r="B69" s="14" t="s">
        <v>81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48"/>
      <c r="P69" s="49"/>
      <c r="Q69" s="49"/>
      <c r="R69" s="49"/>
      <c r="S69" s="48"/>
      <c r="T69" s="49"/>
      <c r="U69" s="49"/>
      <c r="V69" s="49"/>
      <c r="W69" s="48"/>
      <c r="X69" s="49"/>
      <c r="Y69" s="49"/>
      <c r="Z69" s="49"/>
      <c r="AA69" s="48"/>
      <c r="AB69" s="49"/>
      <c r="AC69" s="49"/>
      <c r="AD69" s="49"/>
      <c r="AE69" s="48"/>
      <c r="AF69" s="49"/>
      <c r="AG69" s="49"/>
      <c r="AH69" s="49"/>
      <c r="AI69" s="48"/>
      <c r="AJ69" s="49"/>
      <c r="AK69" s="49"/>
      <c r="AL69" s="49"/>
      <c r="AM69" s="48"/>
      <c r="AN69" s="49"/>
      <c r="AO69" s="49"/>
      <c r="AP69" s="49"/>
      <c r="AQ69" s="48"/>
      <c r="AR69" s="49"/>
      <c r="AS69" s="49"/>
      <c r="AT69" s="49"/>
      <c r="AU69" s="48"/>
      <c r="AV69" s="49"/>
      <c r="AW69" s="49"/>
      <c r="AX69" s="49"/>
      <c r="AY69" s="48"/>
      <c r="AZ69" s="49"/>
      <c r="BA69" s="50"/>
      <c r="BB69" s="49"/>
      <c r="BC69" s="48"/>
      <c r="BD69" s="49"/>
      <c r="BE69" s="49"/>
      <c r="BF69" s="49"/>
      <c r="BG69" s="48"/>
      <c r="BH69" s="49"/>
      <c r="BI69" s="49"/>
      <c r="BJ69" s="49"/>
      <c r="BK69" s="49"/>
      <c r="BL69" s="51"/>
      <c r="BM69" s="49"/>
      <c r="BN69" s="49"/>
      <c r="BO69" s="49"/>
      <c r="BP69" s="49"/>
      <c r="BQ69" s="49"/>
      <c r="BR69" s="49"/>
      <c r="BS69" s="52"/>
      <c r="BT69" s="53"/>
      <c r="BU69" s="53"/>
      <c r="BV69" s="53"/>
      <c r="BW69" s="53"/>
      <c r="BX69" s="53"/>
      <c r="BY69" s="54"/>
      <c r="BZ69" s="55"/>
      <c r="CA69" s="53"/>
      <c r="CB69" s="53"/>
      <c r="CC69" s="53"/>
      <c r="CD69" s="53"/>
      <c r="CE69" s="55"/>
      <c r="CF69" s="53"/>
      <c r="CG69" s="55"/>
      <c r="CH69" s="53"/>
      <c r="CI69" s="53"/>
      <c r="CJ69" s="53"/>
      <c r="CK69" s="53"/>
    </row>
    <row r="70" spans="2:89" s="8" customFormat="1">
      <c r="B70" s="8" t="s">
        <v>66</v>
      </c>
      <c r="C70" s="76">
        <f>SUM(O70:R70)</f>
        <v>8601</v>
      </c>
      <c r="D70" s="76">
        <f>SUM(S70:V70)</f>
        <v>14262</v>
      </c>
      <c r="E70" s="76">
        <f>SUM(W70:Z70)</f>
        <v>15998.333333333334</v>
      </c>
      <c r="F70" s="76">
        <f>SUM(AA70:AD70)</f>
        <v>3062.9999999999991</v>
      </c>
      <c r="G70" s="76">
        <f>SUM(AE70:AH70)</f>
        <v>23249.333333333332</v>
      </c>
      <c r="H70" s="76">
        <f>SUM(AI70:AL70)</f>
        <v>13548</v>
      </c>
      <c r="I70" s="76">
        <f>SUM(AM70:AP70)</f>
        <v>8632</v>
      </c>
      <c r="J70" s="76">
        <f>SUM(AQ70:AT70)</f>
        <v>10333</v>
      </c>
      <c r="K70" s="76">
        <f>SUM(AU70:AX70)</f>
        <v>8660</v>
      </c>
      <c r="L70" s="76">
        <f>SUM(AY70:BB70)</f>
        <v>8197</v>
      </c>
      <c r="M70" s="76">
        <f>SUM(BC70:BE70)</f>
        <v>5931</v>
      </c>
      <c r="O70" s="22">
        <v>2489</v>
      </c>
      <c r="P70" s="23">
        <v>1519</v>
      </c>
      <c r="Q70" s="23">
        <v>2626</v>
      </c>
      <c r="R70" s="23">
        <v>1967</v>
      </c>
      <c r="S70" s="22">
        <v>3838</v>
      </c>
      <c r="T70" s="23">
        <v>4460</v>
      </c>
      <c r="U70" s="23">
        <v>2860</v>
      </c>
      <c r="V70" s="23">
        <v>3104</v>
      </c>
      <c r="W70" s="22">
        <v>4604</v>
      </c>
      <c r="X70" s="23">
        <v>3368</v>
      </c>
      <c r="Y70" s="23">
        <f>4889-200</f>
        <v>4689</v>
      </c>
      <c r="Z70" s="23">
        <f>3304--33.3333333333333</f>
        <v>3337.3333333333335</v>
      </c>
      <c r="AA70" s="22">
        <f>3142-200</f>
        <v>2942</v>
      </c>
      <c r="AB70" s="23">
        <f>2379--133.333333333333</f>
        <v>2512.333333333333</v>
      </c>
      <c r="AC70" s="23">
        <f>1595-116.666666666667</f>
        <v>1478.333333333333</v>
      </c>
      <c r="AD70" s="23">
        <f>-3403-466.666666666667</f>
        <v>-3869.666666666667</v>
      </c>
      <c r="AE70" s="22">
        <f>6557--133.333333333333</f>
        <v>6690.333333333333</v>
      </c>
      <c r="AF70" s="23">
        <f>6795--200</f>
        <v>6995</v>
      </c>
      <c r="AG70" s="23">
        <f>5991--220</f>
        <v>6211</v>
      </c>
      <c r="AH70" s="23">
        <f>3129--224</f>
        <v>3353</v>
      </c>
      <c r="AI70" s="22">
        <v>5932</v>
      </c>
      <c r="AJ70" s="23">
        <v>3055</v>
      </c>
      <c r="AK70" s="23">
        <v>2829</v>
      </c>
      <c r="AL70" s="23">
        <v>1732</v>
      </c>
      <c r="AM70" s="22">
        <v>4290</v>
      </c>
      <c r="AN70" s="23">
        <v>1548</v>
      </c>
      <c r="AO70" s="23">
        <v>1431</v>
      </c>
      <c r="AP70" s="23">
        <v>1363</v>
      </c>
      <c r="AQ70" s="22">
        <v>3578</v>
      </c>
      <c r="AR70" s="23">
        <v>2189</v>
      </c>
      <c r="AS70" s="23">
        <v>2449</v>
      </c>
      <c r="AT70" s="23">
        <v>2117</v>
      </c>
      <c r="AU70" s="22">
        <v>3259</v>
      </c>
      <c r="AV70" s="24">
        <v>2431</v>
      </c>
      <c r="AW70" s="24">
        <v>1294</v>
      </c>
      <c r="AX70" s="24">
        <v>1676</v>
      </c>
      <c r="AY70" s="25">
        <v>2835</v>
      </c>
      <c r="AZ70" s="24">
        <v>2223</v>
      </c>
      <c r="BA70" s="24">
        <f>2170-37-157</f>
        <v>1976</v>
      </c>
      <c r="BB70" s="24">
        <f>1218-55</f>
        <v>1163</v>
      </c>
      <c r="BC70" s="25">
        <f>3134+32</f>
        <v>3166</v>
      </c>
      <c r="BD70" s="24">
        <f>1604-153</f>
        <v>1451</v>
      </c>
      <c r="BE70" s="24">
        <f>1461-147</f>
        <v>1314</v>
      </c>
      <c r="BF70" s="27"/>
      <c r="BG70" s="28"/>
      <c r="BH70" s="27"/>
      <c r="BI70" s="27"/>
      <c r="BJ70" s="27"/>
      <c r="BK70" s="23"/>
      <c r="BL70" s="29">
        <f t="shared" ref="BL70:BL75" si="258">SUM(AM70:AP70)</f>
        <v>8632</v>
      </c>
      <c r="BM70" s="23">
        <f t="shared" ref="BM70:BM75" si="259">SUM(AQ70:AT70)</f>
        <v>10333</v>
      </c>
      <c r="BN70" s="23">
        <f t="shared" ref="BN70:BN75" si="260">SUM(AU70:AX70)</f>
        <v>8660</v>
      </c>
      <c r="BO70" s="23">
        <f t="shared" ref="BO70:BO75" si="261">SUM(AY70:BB70)</f>
        <v>8197</v>
      </c>
      <c r="BP70" s="23">
        <f t="shared" ref="BP70:BP75" si="262">SUM(BC70:BF70)</f>
        <v>5931</v>
      </c>
      <c r="BQ70" s="23"/>
      <c r="BR70" s="23">
        <f t="shared" ref="BR70:BR75" si="263">SUM(AX70:BA70)</f>
        <v>8710</v>
      </c>
      <c r="BS70" s="30">
        <f t="shared" ref="BS70:BS75" si="264">SUM(BB70:BE70)</f>
        <v>7094</v>
      </c>
      <c r="BT70" s="31">
        <f t="shared" ref="BT70:BT75" si="265">AVERAGE(AM70:AP70)</f>
        <v>2158</v>
      </c>
      <c r="BU70" s="31">
        <f t="shared" ref="BU70:BU75" si="266">AVERAGE(AQ70:AT70)</f>
        <v>2583.25</v>
      </c>
      <c r="BV70" s="31">
        <f t="shared" ref="BV70:BV75" si="267">AVERAGE(AU70:AX70)</f>
        <v>2165</v>
      </c>
      <c r="BW70" s="31">
        <f t="shared" ref="BW70:BW75" si="268">AVERAGE(AY70:BB70)</f>
        <v>2049.25</v>
      </c>
      <c r="BX70" s="31">
        <f t="shared" ref="BX70:BX75" si="269">AVERAGE(BC70:BF70)</f>
        <v>1977</v>
      </c>
      <c r="BY70" s="32">
        <f t="shared" ref="BY70:BY75" si="270">AVERAGE(AI70:BD70)</f>
        <v>2453.9545454545455</v>
      </c>
      <c r="BZ70" s="33"/>
      <c r="CA70" s="34">
        <f t="shared" ref="CA70:CA75" si="271">BE70/BD70-1</f>
        <v>-9.4417643004824248E-2</v>
      </c>
      <c r="CB70" s="34">
        <f t="shared" ref="CB70:CB75" si="272">BE70/BA70-1</f>
        <v>-0.33502024291497978</v>
      </c>
      <c r="CC70" s="34">
        <f t="shared" ref="CC70:CC75" si="273">BE70/BY70-1</f>
        <v>-0.46453775909015138</v>
      </c>
      <c r="CD70" s="34">
        <f t="shared" ref="CD70:CD75" si="274">BS70/BR70-1</f>
        <v>-0.18553386911595871</v>
      </c>
      <c r="CE70" s="33"/>
      <c r="CF70" s="34">
        <f t="shared" ref="CF70:CF75" si="275">BX70/BY70-1</f>
        <v>-0.19436160557171167</v>
      </c>
      <c r="CG70" s="33"/>
      <c r="CH70" s="34">
        <f t="shared" ref="CH70:CK75" si="276">BM70/BL70-1</f>
        <v>0.1970574606116775</v>
      </c>
      <c r="CI70" s="34">
        <f t="shared" si="276"/>
        <v>-0.16190844865963416</v>
      </c>
      <c r="CJ70" s="34">
        <f t="shared" si="276"/>
        <v>-5.3464203233256402E-2</v>
      </c>
      <c r="CK70" s="34">
        <f t="shared" si="276"/>
        <v>-0.2764426009515677</v>
      </c>
    </row>
    <row r="71" spans="2:89" s="8" customFormat="1">
      <c r="B71" s="8" t="s">
        <v>67</v>
      </c>
      <c r="C71" s="76">
        <f t="shared" ref="C71:C74" si="277">SUM(O71:R71)</f>
        <v>6782</v>
      </c>
      <c r="D71" s="76">
        <f t="shared" ref="D71:D74" si="278">SUM(S71:V71)</f>
        <v>9291</v>
      </c>
      <c r="E71" s="76">
        <f t="shared" ref="E71:E74" si="279">SUM(W71:Z71)</f>
        <v>-472</v>
      </c>
      <c r="F71" s="76">
        <f t="shared" ref="F71:F74" si="280">SUM(AA71:AD71)</f>
        <v>-1531</v>
      </c>
      <c r="G71" s="76">
        <f t="shared" ref="G71:G74" si="281">SUM(AE71:AH71)</f>
        <v>6191</v>
      </c>
      <c r="H71" s="76">
        <f t="shared" ref="H71:H74" si="282">SUM(AI71:AL71)</f>
        <v>6576</v>
      </c>
      <c r="I71" s="76">
        <f t="shared" ref="I71:I74" si="283">SUM(AM71:AP71)</f>
        <v>5587</v>
      </c>
      <c r="J71" s="76">
        <f t="shared" ref="J71:J74" si="284">SUM(AQ71:AT71)</f>
        <v>5630</v>
      </c>
      <c r="K71" s="76">
        <f t="shared" ref="K71:K74" si="285">SUM(AU71:AX71)</f>
        <v>4197</v>
      </c>
      <c r="L71" s="76">
        <f t="shared" ref="L71:L74" si="286">SUM(AY71:BB71)</f>
        <v>4261</v>
      </c>
      <c r="M71" s="76">
        <f t="shared" ref="M71:M74" si="287">SUM(BC71:BE71)</f>
        <v>3753</v>
      </c>
      <c r="O71" s="22">
        <v>1998</v>
      </c>
      <c r="P71" s="23">
        <v>1211</v>
      </c>
      <c r="Q71" s="23">
        <v>1964</v>
      </c>
      <c r="R71" s="23">
        <v>1609</v>
      </c>
      <c r="S71" s="22">
        <v>2651</v>
      </c>
      <c r="T71" s="23">
        <v>2131</v>
      </c>
      <c r="U71" s="23">
        <v>2257</v>
      </c>
      <c r="V71" s="23">
        <v>2252</v>
      </c>
      <c r="W71" s="22">
        <v>3321</v>
      </c>
      <c r="X71" s="23">
        <v>2738</v>
      </c>
      <c r="Y71" s="23">
        <f>2078-290</f>
        <v>1788</v>
      </c>
      <c r="Z71" s="23">
        <f>-7869-450</f>
        <v>-8319</v>
      </c>
      <c r="AA71" s="22">
        <f>2422-527</f>
        <v>1895</v>
      </c>
      <c r="AB71" s="23">
        <f>678-100</f>
        <v>578</v>
      </c>
      <c r="AC71" s="23">
        <f>8847-941</f>
        <v>7906</v>
      </c>
      <c r="AD71" s="23">
        <f>-9910-2000</f>
        <v>-11910</v>
      </c>
      <c r="AE71" s="22">
        <f>1294-1000</f>
        <v>294</v>
      </c>
      <c r="AF71" s="23">
        <f>903--1300</f>
        <v>2203</v>
      </c>
      <c r="AG71" s="23">
        <f>2009--546</f>
        <v>2555</v>
      </c>
      <c r="AH71" s="23">
        <f>686--453</f>
        <v>1139</v>
      </c>
      <c r="AI71" s="22">
        <v>2715</v>
      </c>
      <c r="AJ71" s="23">
        <v>1730</v>
      </c>
      <c r="AK71" s="23">
        <v>1311</v>
      </c>
      <c r="AL71" s="23">
        <v>820</v>
      </c>
      <c r="AM71" s="22">
        <v>1936</v>
      </c>
      <c r="AN71" s="23">
        <v>1906</v>
      </c>
      <c r="AO71" s="23">
        <v>1099</v>
      </c>
      <c r="AP71" s="23">
        <v>646</v>
      </c>
      <c r="AQ71" s="22">
        <v>2590</v>
      </c>
      <c r="AR71" s="23">
        <v>771</v>
      </c>
      <c r="AS71" s="23">
        <v>1458</v>
      </c>
      <c r="AT71" s="24">
        <v>811</v>
      </c>
      <c r="AU71" s="25">
        <v>1515</v>
      </c>
      <c r="AV71" s="24">
        <v>1153</v>
      </c>
      <c r="AW71" s="24">
        <v>835</v>
      </c>
      <c r="AX71" s="24">
        <v>694</v>
      </c>
      <c r="AY71" s="25">
        <v>1654</v>
      </c>
      <c r="AZ71" s="24">
        <v>1011</v>
      </c>
      <c r="BA71" s="24">
        <v>997</v>
      </c>
      <c r="BB71" s="24">
        <v>599</v>
      </c>
      <c r="BC71" s="25">
        <v>1903</v>
      </c>
      <c r="BD71" s="24">
        <v>1267</v>
      </c>
      <c r="BE71" s="24">
        <v>583</v>
      </c>
      <c r="BF71" s="27"/>
      <c r="BG71" s="28"/>
      <c r="BH71" s="27"/>
      <c r="BI71" s="27"/>
      <c r="BJ71" s="27"/>
      <c r="BK71" s="24"/>
      <c r="BL71" s="29">
        <f t="shared" si="258"/>
        <v>5587</v>
      </c>
      <c r="BM71" s="23">
        <f t="shared" si="259"/>
        <v>5630</v>
      </c>
      <c r="BN71" s="23">
        <f t="shared" si="260"/>
        <v>4197</v>
      </c>
      <c r="BO71" s="23">
        <f t="shared" si="261"/>
        <v>4261</v>
      </c>
      <c r="BP71" s="23">
        <f t="shared" si="262"/>
        <v>3753</v>
      </c>
      <c r="BQ71" s="23"/>
      <c r="BR71" s="23">
        <f t="shared" si="263"/>
        <v>4356</v>
      </c>
      <c r="BS71" s="30">
        <f t="shared" si="264"/>
        <v>4352</v>
      </c>
      <c r="BT71" s="31">
        <f t="shared" si="265"/>
        <v>1396.75</v>
      </c>
      <c r="BU71" s="31">
        <f t="shared" si="266"/>
        <v>1407.5</v>
      </c>
      <c r="BV71" s="31">
        <f t="shared" si="267"/>
        <v>1049.25</v>
      </c>
      <c r="BW71" s="31">
        <f t="shared" si="268"/>
        <v>1065.25</v>
      </c>
      <c r="BX71" s="31">
        <f t="shared" si="269"/>
        <v>1251</v>
      </c>
      <c r="BY71" s="32">
        <f t="shared" si="270"/>
        <v>1337.3181818181818</v>
      </c>
      <c r="BZ71" s="33"/>
      <c r="CA71" s="34">
        <f t="shared" si="271"/>
        <v>-0.53985793212312549</v>
      </c>
      <c r="CB71" s="34">
        <f t="shared" si="272"/>
        <v>-0.41524573721163494</v>
      </c>
      <c r="CC71" s="34">
        <f t="shared" si="273"/>
        <v>-0.56405288739335846</v>
      </c>
      <c r="CD71" s="34">
        <f t="shared" si="274"/>
        <v>-9.182736455464191E-4</v>
      </c>
      <c r="CE71" s="33"/>
      <c r="CF71" s="34">
        <f t="shared" si="275"/>
        <v>-6.4545732639951003E-2</v>
      </c>
      <c r="CG71" s="33"/>
      <c r="CH71" s="34">
        <f t="shared" si="276"/>
        <v>7.6964381600144183E-3</v>
      </c>
      <c r="CI71" s="34">
        <f t="shared" si="276"/>
        <v>-0.25452930728241563</v>
      </c>
      <c r="CJ71" s="34">
        <f t="shared" si="276"/>
        <v>1.5248987371932365E-2</v>
      </c>
      <c r="CK71" s="34">
        <f t="shared" si="276"/>
        <v>-0.11922084017836188</v>
      </c>
    </row>
    <row r="72" spans="2:89" s="8" customFormat="1">
      <c r="B72" s="8" t="s">
        <v>68</v>
      </c>
      <c r="C72" s="76">
        <f t="shared" si="277"/>
        <v>9794</v>
      </c>
      <c r="D72" s="76">
        <f t="shared" si="278"/>
        <v>12428</v>
      </c>
      <c r="E72" s="76">
        <f t="shared" si="279"/>
        <v>-20203.666666666668</v>
      </c>
      <c r="F72" s="76">
        <f t="shared" si="280"/>
        <v>-46753.666666666672</v>
      </c>
      <c r="G72" s="76">
        <f t="shared" si="281"/>
        <v>18809</v>
      </c>
      <c r="H72" s="76">
        <f t="shared" si="282"/>
        <v>12700</v>
      </c>
      <c r="I72" s="76">
        <f t="shared" si="283"/>
        <v>8105</v>
      </c>
      <c r="J72" s="76">
        <f t="shared" si="284"/>
        <v>11007</v>
      </c>
      <c r="K72" s="76">
        <f t="shared" si="285"/>
        <v>9142</v>
      </c>
      <c r="L72" s="76">
        <f t="shared" si="286"/>
        <v>9029</v>
      </c>
      <c r="M72" s="76">
        <f t="shared" si="287"/>
        <v>6912</v>
      </c>
      <c r="O72" s="22">
        <v>2671</v>
      </c>
      <c r="P72" s="23">
        <v>2354</v>
      </c>
      <c r="Q72" s="23">
        <v>2628</v>
      </c>
      <c r="R72" s="23">
        <v>2141</v>
      </c>
      <c r="S72" s="22">
        <v>3332</v>
      </c>
      <c r="T72" s="23">
        <v>2887</v>
      </c>
      <c r="U72" s="23">
        <v>3124</v>
      </c>
      <c r="V72" s="23">
        <v>3085</v>
      </c>
      <c r="W72" s="22">
        <v>4042</v>
      </c>
      <c r="X72" s="23">
        <v>4066</v>
      </c>
      <c r="Y72" s="23">
        <f>-6592-400</f>
        <v>-6992</v>
      </c>
      <c r="Z72" s="23">
        <f>-20453-866.666666666667</f>
        <v>-21319.666666666668</v>
      </c>
      <c r="AA72" s="22">
        <f>-5179-1400</f>
        <v>-6579</v>
      </c>
      <c r="AB72" s="23">
        <f>-7407-65.3333333333333</f>
        <v>-7472.333333333333</v>
      </c>
      <c r="AC72" s="23">
        <f>-10597-1466.66666666667</f>
        <v>-12063.66666666667</v>
      </c>
      <c r="AD72" s="23">
        <f>-20396-242.666666666667</f>
        <v>-20638.666666666668</v>
      </c>
      <c r="AE72" s="22">
        <v>6468</v>
      </c>
      <c r="AF72" s="23">
        <v>5582</v>
      </c>
      <c r="AG72" s="23">
        <v>4500</v>
      </c>
      <c r="AH72" s="23">
        <v>2259</v>
      </c>
      <c r="AI72" s="22">
        <v>5487</v>
      </c>
      <c r="AJ72" s="23">
        <f>2230+179-77</f>
        <v>2332</v>
      </c>
      <c r="AK72" s="23">
        <f>3477-264+34</f>
        <v>3247</v>
      </c>
      <c r="AL72" s="23">
        <f>1667-33</f>
        <v>1634</v>
      </c>
      <c r="AM72" s="22">
        <v>3699</v>
      </c>
      <c r="AN72" s="23">
        <v>2550</v>
      </c>
      <c r="AO72" s="23">
        <v>553</v>
      </c>
      <c r="AP72" s="23">
        <v>1303</v>
      </c>
      <c r="AQ72" s="22">
        <v>4130</v>
      </c>
      <c r="AR72" s="23">
        <v>2555</v>
      </c>
      <c r="AS72" s="23">
        <v>2534</v>
      </c>
      <c r="AT72" s="23">
        <v>1788</v>
      </c>
      <c r="AU72" s="22">
        <v>3001</v>
      </c>
      <c r="AV72" s="24">
        <v>2253</v>
      </c>
      <c r="AW72" s="24">
        <v>2029</v>
      </c>
      <c r="AX72" s="24">
        <f>2079-220</f>
        <v>1859</v>
      </c>
      <c r="AY72" s="25">
        <v>2946</v>
      </c>
      <c r="AZ72" s="24">
        <v>2366</v>
      </c>
      <c r="BA72" s="26">
        <v>2254</v>
      </c>
      <c r="BB72" s="24">
        <v>1463</v>
      </c>
      <c r="BC72" s="25">
        <v>2752</v>
      </c>
      <c r="BD72" s="24">
        <v>2153</v>
      </c>
      <c r="BE72" s="24">
        <v>2007</v>
      </c>
      <c r="BF72" s="27"/>
      <c r="BG72" s="28"/>
      <c r="BH72" s="27"/>
      <c r="BI72" s="27"/>
      <c r="BJ72" s="27"/>
      <c r="BK72" s="23"/>
      <c r="BL72" s="29">
        <f t="shared" si="258"/>
        <v>8105</v>
      </c>
      <c r="BM72" s="23">
        <f t="shared" si="259"/>
        <v>11007</v>
      </c>
      <c r="BN72" s="23">
        <f t="shared" si="260"/>
        <v>9142</v>
      </c>
      <c r="BO72" s="23">
        <f t="shared" si="261"/>
        <v>9029</v>
      </c>
      <c r="BP72" s="23">
        <f t="shared" si="262"/>
        <v>6912</v>
      </c>
      <c r="BQ72" s="23"/>
      <c r="BR72" s="23">
        <f t="shared" si="263"/>
        <v>9425</v>
      </c>
      <c r="BS72" s="30">
        <f t="shared" si="264"/>
        <v>8375</v>
      </c>
      <c r="BT72" s="31">
        <f t="shared" si="265"/>
        <v>2026.25</v>
      </c>
      <c r="BU72" s="31">
        <f t="shared" si="266"/>
        <v>2751.75</v>
      </c>
      <c r="BV72" s="31">
        <f t="shared" si="267"/>
        <v>2285.5</v>
      </c>
      <c r="BW72" s="31">
        <f t="shared" si="268"/>
        <v>2257.25</v>
      </c>
      <c r="BX72" s="31">
        <f t="shared" si="269"/>
        <v>2304</v>
      </c>
      <c r="BY72" s="32">
        <f t="shared" si="270"/>
        <v>2494.909090909091</v>
      </c>
      <c r="BZ72" s="33"/>
      <c r="CA72" s="34">
        <f t="shared" si="271"/>
        <v>-6.7812354853692525E-2</v>
      </c>
      <c r="CB72" s="34">
        <f t="shared" si="272"/>
        <v>-0.10958296362023068</v>
      </c>
      <c r="CC72" s="34">
        <f t="shared" si="273"/>
        <v>-0.19556187144731096</v>
      </c>
      <c r="CD72" s="34">
        <f t="shared" si="274"/>
        <v>-0.1114058355437666</v>
      </c>
      <c r="CE72" s="33"/>
      <c r="CF72" s="34">
        <f t="shared" si="275"/>
        <v>-7.6519457804984703E-2</v>
      </c>
      <c r="CG72" s="33"/>
      <c r="CH72" s="34">
        <f t="shared" si="276"/>
        <v>0.35805058605798901</v>
      </c>
      <c r="CI72" s="34">
        <f t="shared" si="276"/>
        <v>-0.16943763059870987</v>
      </c>
      <c r="CJ72" s="34">
        <f t="shared" si="276"/>
        <v>-1.236053380004376E-2</v>
      </c>
      <c r="CK72" s="34">
        <f t="shared" si="276"/>
        <v>-0.23446671835197697</v>
      </c>
    </row>
    <row r="73" spans="2:89" s="8" customFormat="1">
      <c r="B73" s="8" t="s">
        <v>69</v>
      </c>
      <c r="C73" s="76">
        <f t="shared" si="277"/>
        <v>9599</v>
      </c>
      <c r="D73" s="76">
        <f t="shared" si="278"/>
        <v>14514</v>
      </c>
      <c r="E73" s="76">
        <f t="shared" si="279"/>
        <v>-6940.6666666666642</v>
      </c>
      <c r="F73" s="76">
        <f t="shared" si="280"/>
        <v>-27454</v>
      </c>
      <c r="G73" s="76">
        <f t="shared" si="281"/>
        <v>21497</v>
      </c>
      <c r="H73" s="76">
        <f t="shared" si="282"/>
        <v>14264</v>
      </c>
      <c r="I73" s="76">
        <f t="shared" si="283"/>
        <v>10890</v>
      </c>
      <c r="J73" s="76">
        <f t="shared" si="284"/>
        <v>14122</v>
      </c>
      <c r="K73" s="76">
        <f t="shared" si="285"/>
        <v>13258</v>
      </c>
      <c r="L73" s="76">
        <f t="shared" si="286"/>
        <v>12148</v>
      </c>
      <c r="M73" s="76">
        <f t="shared" si="287"/>
        <v>9122</v>
      </c>
      <c r="O73" s="22">
        <v>2916</v>
      </c>
      <c r="P73" s="23">
        <v>1827</v>
      </c>
      <c r="Q73" s="23">
        <v>2770</v>
      </c>
      <c r="R73" s="23">
        <v>2086</v>
      </c>
      <c r="S73" s="22">
        <v>3997</v>
      </c>
      <c r="T73" s="23">
        <v>3508</v>
      </c>
      <c r="U73" s="23">
        <v>2800</v>
      </c>
      <c r="V73" s="23">
        <v>4209</v>
      </c>
      <c r="W73" s="22">
        <v>4451</v>
      </c>
      <c r="X73" s="23">
        <v>4652</v>
      </c>
      <c r="Y73" s="23">
        <v>603.66666666666697</v>
      </c>
      <c r="Z73" s="23">
        <v>-16647.333333333332</v>
      </c>
      <c r="AA73" s="22">
        <v>-7875.666666666667</v>
      </c>
      <c r="AB73" s="23">
        <v>-785</v>
      </c>
      <c r="AC73" s="23">
        <v>-3429.3333333333298</v>
      </c>
      <c r="AD73" s="23">
        <v>-15364</v>
      </c>
      <c r="AE73" s="22">
        <v>7480</v>
      </c>
      <c r="AF73" s="23">
        <v>5780</v>
      </c>
      <c r="AG73" s="23">
        <v>4865</v>
      </c>
      <c r="AH73" s="23">
        <v>3372</v>
      </c>
      <c r="AI73" s="22">
        <v>5088</v>
      </c>
      <c r="AJ73" s="23">
        <v>3488</v>
      </c>
      <c r="AK73" s="23">
        <v>3385</v>
      </c>
      <c r="AL73" s="23">
        <v>2303</v>
      </c>
      <c r="AM73" s="22">
        <v>3982</v>
      </c>
      <c r="AN73" s="23">
        <v>2922</v>
      </c>
      <c r="AO73" s="23">
        <v>2270</v>
      </c>
      <c r="AP73" s="23">
        <v>1716</v>
      </c>
      <c r="AQ73" s="22">
        <v>4781</v>
      </c>
      <c r="AR73" s="23">
        <v>2861</v>
      </c>
      <c r="AS73" s="23">
        <v>3739</v>
      </c>
      <c r="AT73" s="23">
        <v>2741</v>
      </c>
      <c r="AU73" s="22">
        <v>4623</v>
      </c>
      <c r="AV73" s="24">
        <v>3422</v>
      </c>
      <c r="AW73" s="24">
        <v>2838</v>
      </c>
      <c r="AX73" s="24">
        <v>2375</v>
      </c>
      <c r="AY73" s="25">
        <v>3929</v>
      </c>
      <c r="AZ73" s="24">
        <v>3080</v>
      </c>
      <c r="BA73" s="24">
        <v>3064</v>
      </c>
      <c r="BB73" s="24">
        <v>2075</v>
      </c>
      <c r="BC73" s="25">
        <v>3483</v>
      </c>
      <c r="BD73" s="24">
        <v>3062</v>
      </c>
      <c r="BE73" s="24">
        <v>2577</v>
      </c>
      <c r="BF73" s="27"/>
      <c r="BG73" s="28"/>
      <c r="BH73" s="27"/>
      <c r="BI73" s="27"/>
      <c r="BJ73" s="27"/>
      <c r="BK73" s="23"/>
      <c r="BL73" s="29">
        <f t="shared" si="258"/>
        <v>10890</v>
      </c>
      <c r="BM73" s="23">
        <f t="shared" si="259"/>
        <v>14122</v>
      </c>
      <c r="BN73" s="23">
        <f t="shared" si="260"/>
        <v>13258</v>
      </c>
      <c r="BO73" s="23">
        <f t="shared" si="261"/>
        <v>12148</v>
      </c>
      <c r="BP73" s="23">
        <f t="shared" si="262"/>
        <v>9122</v>
      </c>
      <c r="BQ73" s="23"/>
      <c r="BR73" s="23">
        <f t="shared" si="263"/>
        <v>12448</v>
      </c>
      <c r="BS73" s="30">
        <f t="shared" si="264"/>
        <v>11197</v>
      </c>
      <c r="BT73" s="31">
        <f t="shared" si="265"/>
        <v>2722.5</v>
      </c>
      <c r="BU73" s="31">
        <f t="shared" si="266"/>
        <v>3530.5</v>
      </c>
      <c r="BV73" s="31">
        <f t="shared" si="267"/>
        <v>3314.5</v>
      </c>
      <c r="BW73" s="31">
        <f t="shared" si="268"/>
        <v>3037</v>
      </c>
      <c r="BX73" s="31">
        <f t="shared" si="269"/>
        <v>3040.6666666666665</v>
      </c>
      <c r="BY73" s="32">
        <f t="shared" si="270"/>
        <v>3237.590909090909</v>
      </c>
      <c r="BZ73" s="33"/>
      <c r="CA73" s="34">
        <f t="shared" si="271"/>
        <v>-0.15839320705421289</v>
      </c>
      <c r="CB73" s="34">
        <f t="shared" si="272"/>
        <v>-0.15894255874673624</v>
      </c>
      <c r="CC73" s="34">
        <f t="shared" si="273"/>
        <v>-0.20403779465652072</v>
      </c>
      <c r="CD73" s="34">
        <f t="shared" si="274"/>
        <v>-0.1004980719794345</v>
      </c>
      <c r="CE73" s="33"/>
      <c r="CF73" s="34">
        <f t="shared" si="275"/>
        <v>-6.0824312877607256E-2</v>
      </c>
      <c r="CG73" s="33"/>
      <c r="CH73" s="34">
        <f t="shared" si="276"/>
        <v>0.29678604224058769</v>
      </c>
      <c r="CI73" s="34">
        <f t="shared" si="276"/>
        <v>-6.1181135816456567E-2</v>
      </c>
      <c r="CJ73" s="34">
        <f t="shared" si="276"/>
        <v>-8.3723035148589586E-2</v>
      </c>
      <c r="CK73" s="34">
        <f t="shared" si="276"/>
        <v>-0.24909450115245313</v>
      </c>
    </row>
    <row r="74" spans="2:89" s="8" customFormat="1">
      <c r="B74" s="8" t="s">
        <v>70</v>
      </c>
      <c r="C74" s="76">
        <f t="shared" si="277"/>
        <v>10528.333000000001</v>
      </c>
      <c r="D74" s="76">
        <f t="shared" si="278"/>
        <v>12476.81</v>
      </c>
      <c r="E74" s="76">
        <f t="shared" si="279"/>
        <v>6565.6390000000001</v>
      </c>
      <c r="F74" s="76">
        <f t="shared" si="280"/>
        <v>1220</v>
      </c>
      <c r="G74" s="76">
        <f t="shared" si="281"/>
        <v>20280</v>
      </c>
      <c r="H74" s="76">
        <f t="shared" si="282"/>
        <v>14728</v>
      </c>
      <c r="I74" s="76">
        <f t="shared" si="283"/>
        <v>14779</v>
      </c>
      <c r="J74" s="76">
        <f t="shared" si="284"/>
        <v>15412</v>
      </c>
      <c r="K74" s="76">
        <f t="shared" si="285"/>
        <v>15550</v>
      </c>
      <c r="L74" s="76">
        <f t="shared" si="286"/>
        <v>13585.666666666666</v>
      </c>
      <c r="M74" s="76">
        <f t="shared" si="287"/>
        <v>10018</v>
      </c>
      <c r="O74" s="22">
        <v>3161.5070000000001</v>
      </c>
      <c r="P74" s="23">
        <v>2236.0129999999999</v>
      </c>
      <c r="Q74" s="23">
        <v>3180.2420000000002</v>
      </c>
      <c r="R74" s="23">
        <v>1950.5709999999999</v>
      </c>
      <c r="S74" s="22">
        <v>2881.7380000000003</v>
      </c>
      <c r="T74" s="23">
        <v>3259.5370000000003</v>
      </c>
      <c r="U74" s="23">
        <v>3314.9740000000002</v>
      </c>
      <c r="V74" s="23">
        <v>3020.5609999999997</v>
      </c>
      <c r="W74" s="22">
        <v>3741.3519999999999</v>
      </c>
      <c r="X74" s="23">
        <v>3407.2870000000003</v>
      </c>
      <c r="Y74" s="23">
        <f>805-304</f>
        <v>501</v>
      </c>
      <c r="Z74" s="23">
        <f>-930-154</f>
        <v>-1084</v>
      </c>
      <c r="AA74" s="22">
        <f>532-662</f>
        <v>-130</v>
      </c>
      <c r="AB74" s="23">
        <f>2347-165</f>
        <v>2182</v>
      </c>
      <c r="AC74" s="23">
        <f>815-343</f>
        <v>472</v>
      </c>
      <c r="AD74" s="23">
        <f>-1671--367</f>
        <v>-1304</v>
      </c>
      <c r="AE74" s="22">
        <v>5392</v>
      </c>
      <c r="AF74" s="23">
        <v>5702</v>
      </c>
      <c r="AG74" s="23">
        <v>5108</v>
      </c>
      <c r="AH74" s="23">
        <v>4078</v>
      </c>
      <c r="AI74" s="22">
        <f>5464-69</f>
        <v>5395</v>
      </c>
      <c r="AJ74" s="23">
        <f>3563-397</f>
        <v>3166</v>
      </c>
      <c r="AK74" s="23">
        <f>3123+149</f>
        <v>3272</v>
      </c>
      <c r="AL74" s="23">
        <f>2875+20</f>
        <v>2895</v>
      </c>
      <c r="AM74" s="22">
        <f>5238-100</f>
        <v>5138</v>
      </c>
      <c r="AN74" s="23">
        <f>4280-64</f>
        <v>4216</v>
      </c>
      <c r="AO74" s="23">
        <f>3328-529</f>
        <v>2799</v>
      </c>
      <c r="AP74" s="23">
        <f>2491+135</f>
        <v>2626</v>
      </c>
      <c r="AQ74" s="22">
        <f>4664+352</f>
        <v>5016</v>
      </c>
      <c r="AR74" s="23">
        <f>3734-241</f>
        <v>3493</v>
      </c>
      <c r="AS74" s="23">
        <f>3685+41</f>
        <v>3726</v>
      </c>
      <c r="AT74" s="23">
        <v>3177</v>
      </c>
      <c r="AU74" s="22">
        <v>4752</v>
      </c>
      <c r="AV74" s="24">
        <v>4078</v>
      </c>
      <c r="AW74" s="24">
        <v>3439</v>
      </c>
      <c r="AX74" s="24">
        <v>3281</v>
      </c>
      <c r="AY74" s="25">
        <v>3889</v>
      </c>
      <c r="AZ74" s="24">
        <f>BD74/0.9</f>
        <v>3256.6666666666665</v>
      </c>
      <c r="BA74" s="26">
        <v>3787</v>
      </c>
      <c r="BB74" s="26">
        <v>2653</v>
      </c>
      <c r="BC74" s="35">
        <v>4154</v>
      </c>
      <c r="BD74" s="26">
        <v>2931</v>
      </c>
      <c r="BE74" s="26">
        <v>2933</v>
      </c>
      <c r="BF74" s="27"/>
      <c r="BG74" s="28"/>
      <c r="BH74" s="27"/>
      <c r="BI74" s="27"/>
      <c r="BJ74" s="27"/>
      <c r="BK74" s="23"/>
      <c r="BL74" s="29">
        <f t="shared" si="258"/>
        <v>14779</v>
      </c>
      <c r="BM74" s="23">
        <f t="shared" si="259"/>
        <v>15412</v>
      </c>
      <c r="BN74" s="23">
        <f t="shared" si="260"/>
        <v>15550</v>
      </c>
      <c r="BO74" s="23">
        <f t="shared" si="261"/>
        <v>13585.666666666666</v>
      </c>
      <c r="BP74" s="23">
        <f t="shared" si="262"/>
        <v>10018</v>
      </c>
      <c r="BQ74" s="23"/>
      <c r="BR74" s="23">
        <f t="shared" si="263"/>
        <v>14213.666666666666</v>
      </c>
      <c r="BS74" s="30">
        <f t="shared" si="264"/>
        <v>12671</v>
      </c>
      <c r="BT74" s="31">
        <f t="shared" si="265"/>
        <v>3694.75</v>
      </c>
      <c r="BU74" s="31">
        <f t="shared" si="266"/>
        <v>3853</v>
      </c>
      <c r="BV74" s="31">
        <f t="shared" si="267"/>
        <v>3887.5</v>
      </c>
      <c r="BW74" s="31">
        <f t="shared" si="268"/>
        <v>3396.4166666666665</v>
      </c>
      <c r="BX74" s="31">
        <f t="shared" si="269"/>
        <v>3339.3333333333335</v>
      </c>
      <c r="BY74" s="32">
        <f t="shared" si="270"/>
        <v>3688.166666666667</v>
      </c>
      <c r="BZ74" s="33"/>
      <c r="CA74" s="34">
        <f t="shared" si="271"/>
        <v>6.8236096895257781E-4</v>
      </c>
      <c r="CB74" s="34">
        <f t="shared" si="272"/>
        <v>-0.22550831792975967</v>
      </c>
      <c r="CC74" s="34">
        <f t="shared" si="273"/>
        <v>-0.20475394279000414</v>
      </c>
      <c r="CD74" s="34">
        <f t="shared" si="274"/>
        <v>-0.10853404000844258</v>
      </c>
      <c r="CE74" s="33"/>
      <c r="CF74" s="34">
        <f t="shared" si="275"/>
        <v>-9.4581770527362274E-2</v>
      </c>
      <c r="CG74" s="33"/>
      <c r="CH74" s="34">
        <f t="shared" si="276"/>
        <v>4.283104404898852E-2</v>
      </c>
      <c r="CI74" s="34">
        <f t="shared" si="276"/>
        <v>8.9540617700492042E-3</v>
      </c>
      <c r="CJ74" s="34">
        <f t="shared" si="276"/>
        <v>-0.12632368703108254</v>
      </c>
      <c r="CK74" s="34">
        <f t="shared" si="276"/>
        <v>-0.26260519665333559</v>
      </c>
    </row>
    <row r="75" spans="2:89" s="8" customFormat="1">
      <c r="B75" s="36" t="s">
        <v>76</v>
      </c>
      <c r="C75" s="76">
        <f t="shared" ref="C75" si="288">SUM(O75:R75)</f>
        <v>9060.8665999999994</v>
      </c>
      <c r="D75" s="76">
        <f t="shared" ref="D75" si="289">SUM(S75:V75)</f>
        <v>12594.362000000001</v>
      </c>
      <c r="E75" s="76">
        <f t="shared" ref="E75" si="290">SUM(W75:Z75)</f>
        <v>-1010.4722000000011</v>
      </c>
      <c r="F75" s="76">
        <f t="shared" ref="F75" si="291">SUM(AA75:AD75)</f>
        <v>-14291.133333333333</v>
      </c>
      <c r="G75" s="76">
        <f t="shared" ref="G75" si="292">SUM(AE75:AH75)</f>
        <v>18005.266666666666</v>
      </c>
      <c r="H75" s="76">
        <f t="shared" ref="H75" si="293">SUM(AI75:AL75)</f>
        <v>12363.199999999999</v>
      </c>
      <c r="I75" s="76">
        <f t="shared" ref="I75" si="294">SUM(AM75:AP75)</f>
        <v>9598.5999999999985</v>
      </c>
      <c r="J75" s="76">
        <f t="shared" ref="J75" si="295">SUM(AQ75:AT75)</f>
        <v>11300.8</v>
      </c>
      <c r="K75" s="76">
        <f t="shared" ref="K75" si="296">SUM(AU75:AX75)</f>
        <v>10161.4</v>
      </c>
      <c r="L75" s="76">
        <f t="shared" ref="L75" si="297">SUM(AY75:BB75)</f>
        <v>9444.1333333333332</v>
      </c>
      <c r="M75" s="76">
        <f t="shared" ref="M75" si="298">SUM(BC75:BE75)</f>
        <v>7147.2</v>
      </c>
      <c r="N75" s="47"/>
      <c r="O75" s="37">
        <f t="shared" ref="O75:BE75" si="299">AVERAGE(O70:O74)</f>
        <v>2647.1014</v>
      </c>
      <c r="P75" s="38">
        <f t="shared" si="299"/>
        <v>1829.4025999999999</v>
      </c>
      <c r="Q75" s="38">
        <f t="shared" si="299"/>
        <v>2633.6484</v>
      </c>
      <c r="R75" s="38">
        <f t="shared" si="299"/>
        <v>1950.7141999999999</v>
      </c>
      <c r="S75" s="37">
        <f t="shared" si="299"/>
        <v>3339.9476000000004</v>
      </c>
      <c r="T75" s="38">
        <f t="shared" si="299"/>
        <v>3249.1073999999999</v>
      </c>
      <c r="U75" s="38">
        <f t="shared" si="299"/>
        <v>2871.1948000000002</v>
      </c>
      <c r="V75" s="38">
        <f t="shared" si="299"/>
        <v>3134.1122</v>
      </c>
      <c r="W75" s="37">
        <f t="shared" si="299"/>
        <v>4031.8703999999998</v>
      </c>
      <c r="X75" s="38">
        <f t="shared" si="299"/>
        <v>3646.2574</v>
      </c>
      <c r="Y75" s="38">
        <f t="shared" si="299"/>
        <v>117.93333333333339</v>
      </c>
      <c r="Z75" s="38">
        <f t="shared" si="299"/>
        <v>-8806.5333333333347</v>
      </c>
      <c r="AA75" s="37">
        <f t="shared" si="299"/>
        <v>-1949.5333333333335</v>
      </c>
      <c r="AB75" s="38">
        <f t="shared" si="299"/>
        <v>-597</v>
      </c>
      <c r="AC75" s="38">
        <f t="shared" si="299"/>
        <v>-1127.3333333333335</v>
      </c>
      <c r="AD75" s="38">
        <f t="shared" si="299"/>
        <v>-10617.266666666666</v>
      </c>
      <c r="AE75" s="37">
        <f t="shared" si="299"/>
        <v>5264.8666666666668</v>
      </c>
      <c r="AF75" s="38">
        <f t="shared" si="299"/>
        <v>5252.4</v>
      </c>
      <c r="AG75" s="38">
        <f t="shared" si="299"/>
        <v>4647.8</v>
      </c>
      <c r="AH75" s="38">
        <f t="shared" si="299"/>
        <v>2840.2</v>
      </c>
      <c r="AI75" s="37">
        <f t="shared" si="299"/>
        <v>4923.3999999999996</v>
      </c>
      <c r="AJ75" s="38">
        <f t="shared" si="299"/>
        <v>2754.2</v>
      </c>
      <c r="AK75" s="38">
        <f t="shared" si="299"/>
        <v>2808.8</v>
      </c>
      <c r="AL75" s="38">
        <f t="shared" si="299"/>
        <v>1876.8</v>
      </c>
      <c r="AM75" s="37">
        <f t="shared" si="299"/>
        <v>3809</v>
      </c>
      <c r="AN75" s="38">
        <f t="shared" si="299"/>
        <v>2628.4</v>
      </c>
      <c r="AO75" s="38">
        <f t="shared" si="299"/>
        <v>1630.4</v>
      </c>
      <c r="AP75" s="38">
        <f t="shared" si="299"/>
        <v>1530.8</v>
      </c>
      <c r="AQ75" s="37">
        <f t="shared" si="299"/>
        <v>4019</v>
      </c>
      <c r="AR75" s="38">
        <f t="shared" si="299"/>
        <v>2373.8000000000002</v>
      </c>
      <c r="AS75" s="38">
        <f t="shared" si="299"/>
        <v>2781.2</v>
      </c>
      <c r="AT75" s="38">
        <f t="shared" si="299"/>
        <v>2126.8000000000002</v>
      </c>
      <c r="AU75" s="37">
        <f t="shared" si="299"/>
        <v>3430</v>
      </c>
      <c r="AV75" s="38">
        <f t="shared" si="299"/>
        <v>2667.4</v>
      </c>
      <c r="AW75" s="38">
        <f t="shared" si="299"/>
        <v>2087</v>
      </c>
      <c r="AX75" s="38">
        <f t="shared" si="299"/>
        <v>1977</v>
      </c>
      <c r="AY75" s="37">
        <f t="shared" si="299"/>
        <v>3050.6</v>
      </c>
      <c r="AZ75" s="38">
        <f t="shared" si="299"/>
        <v>2387.333333333333</v>
      </c>
      <c r="BA75" s="39">
        <f t="shared" si="299"/>
        <v>2415.6</v>
      </c>
      <c r="BB75" s="38">
        <f t="shared" si="299"/>
        <v>1590.6</v>
      </c>
      <c r="BC75" s="37">
        <f t="shared" si="299"/>
        <v>3091.6</v>
      </c>
      <c r="BD75" s="38">
        <f t="shared" si="299"/>
        <v>2172.8000000000002</v>
      </c>
      <c r="BE75" s="38">
        <f t="shared" si="299"/>
        <v>1882.8</v>
      </c>
      <c r="BF75" s="38"/>
      <c r="BG75" s="37"/>
      <c r="BH75" s="38"/>
      <c r="BI75" s="38"/>
      <c r="BJ75" s="38"/>
      <c r="BK75" s="23"/>
      <c r="BL75" s="42">
        <f t="shared" si="258"/>
        <v>9598.5999999999985</v>
      </c>
      <c r="BM75" s="38">
        <f t="shared" si="259"/>
        <v>11300.8</v>
      </c>
      <c r="BN75" s="38">
        <f t="shared" si="260"/>
        <v>10161.4</v>
      </c>
      <c r="BO75" s="38">
        <f t="shared" si="261"/>
        <v>9444.1333333333332</v>
      </c>
      <c r="BP75" s="38">
        <f t="shared" si="262"/>
        <v>7147.2</v>
      </c>
      <c r="BQ75" s="23"/>
      <c r="BR75" s="38">
        <f t="shared" si="263"/>
        <v>9830.5333333333328</v>
      </c>
      <c r="BS75" s="43">
        <f t="shared" si="264"/>
        <v>8737.7999999999993</v>
      </c>
      <c r="BT75" s="44">
        <f t="shared" si="265"/>
        <v>2399.6499999999996</v>
      </c>
      <c r="BU75" s="44">
        <f t="shared" si="266"/>
        <v>2825.2</v>
      </c>
      <c r="BV75" s="44">
        <f t="shared" si="267"/>
        <v>2540.35</v>
      </c>
      <c r="BW75" s="44">
        <f t="shared" si="268"/>
        <v>2361.0333333333333</v>
      </c>
      <c r="BX75" s="44">
        <f t="shared" si="269"/>
        <v>2382.4</v>
      </c>
      <c r="BY75" s="45">
        <f t="shared" si="270"/>
        <v>2642.3878787878789</v>
      </c>
      <c r="BZ75" s="33"/>
      <c r="CA75" s="46">
        <f t="shared" si="271"/>
        <v>-0.1334683357879235</v>
      </c>
      <c r="CB75" s="46">
        <f t="shared" si="272"/>
        <v>-0.22056631892697465</v>
      </c>
      <c r="CC75" s="46">
        <f t="shared" si="273"/>
        <v>-0.28746267150465377</v>
      </c>
      <c r="CD75" s="46">
        <f t="shared" si="274"/>
        <v>-0.11115707523498219</v>
      </c>
      <c r="CE75" s="33"/>
      <c r="CF75" s="46">
        <f t="shared" si="275"/>
        <v>-9.8391262265076995E-2</v>
      </c>
      <c r="CG75" s="33"/>
      <c r="CH75" s="46">
        <f t="shared" si="276"/>
        <v>0.17733836184443574</v>
      </c>
      <c r="CI75" s="46">
        <f t="shared" si="276"/>
        <v>-0.10082472037377888</v>
      </c>
      <c r="CJ75" s="46">
        <f t="shared" si="276"/>
        <v>-7.0587386252550455E-2</v>
      </c>
      <c r="CK75" s="46">
        <f t="shared" si="276"/>
        <v>-0.24321271759540319</v>
      </c>
    </row>
    <row r="76" spans="2:89" s="8" customFormat="1">
      <c r="O76" s="56"/>
      <c r="P76" s="57"/>
      <c r="Q76" s="57"/>
      <c r="R76" s="57"/>
      <c r="S76" s="56"/>
      <c r="T76" s="57"/>
      <c r="U76" s="57"/>
      <c r="V76" s="57"/>
      <c r="W76" s="56"/>
      <c r="X76" s="57"/>
      <c r="Y76" s="57"/>
      <c r="Z76" s="57"/>
      <c r="AA76" s="56"/>
      <c r="AB76" s="57"/>
      <c r="AC76" s="57"/>
      <c r="AD76" s="57"/>
      <c r="AE76" s="56"/>
      <c r="AF76" s="57"/>
      <c r="AG76" s="57"/>
      <c r="AH76" s="57"/>
      <c r="AI76" s="56"/>
      <c r="AJ76" s="57"/>
      <c r="AK76" s="57"/>
      <c r="AL76" s="57"/>
      <c r="AM76" s="56"/>
      <c r="AN76" s="57"/>
      <c r="AO76" s="57"/>
      <c r="AP76" s="57"/>
      <c r="AQ76" s="56"/>
      <c r="AR76" s="57"/>
      <c r="AS76" s="57"/>
      <c r="AT76" s="57"/>
      <c r="AU76" s="56"/>
      <c r="AV76" s="57"/>
      <c r="AW76" s="57"/>
      <c r="AX76" s="57"/>
      <c r="AY76" s="56"/>
      <c r="AZ76" s="57"/>
      <c r="BA76" s="58"/>
      <c r="BB76" s="57"/>
      <c r="BC76" s="56"/>
      <c r="BD76" s="57"/>
      <c r="BE76" s="57"/>
      <c r="BF76" s="57"/>
      <c r="BG76" s="56"/>
      <c r="BH76" s="57"/>
      <c r="BI76" s="57"/>
      <c r="BJ76" s="57"/>
      <c r="BK76" s="57"/>
      <c r="BL76" s="59"/>
      <c r="BM76" s="57"/>
      <c r="BN76" s="23"/>
      <c r="BO76" s="23"/>
      <c r="BP76" s="23"/>
      <c r="BQ76" s="57"/>
      <c r="BR76" s="57"/>
      <c r="BS76" s="60"/>
      <c r="BT76" s="33"/>
      <c r="BU76" s="33"/>
      <c r="BV76" s="33"/>
      <c r="BW76" s="33"/>
      <c r="BX76" s="33"/>
      <c r="BY76" s="61"/>
      <c r="BZ76" s="33"/>
      <c r="CA76" s="34"/>
      <c r="CB76" s="34"/>
      <c r="CC76" s="34"/>
      <c r="CD76" s="34"/>
      <c r="CE76" s="33"/>
      <c r="CF76" s="34"/>
      <c r="CG76" s="33"/>
      <c r="CH76" s="34"/>
      <c r="CI76" s="34"/>
      <c r="CJ76" s="34"/>
      <c r="CK76" s="34"/>
    </row>
    <row r="77" spans="2:89" s="8" customFormat="1" hidden="1" outlineLevel="1">
      <c r="B77" s="8" t="s">
        <v>71</v>
      </c>
      <c r="O77" s="22"/>
      <c r="P77" s="23"/>
      <c r="Q77" s="23"/>
      <c r="R77" s="23"/>
      <c r="S77" s="22"/>
      <c r="T77" s="23"/>
      <c r="U77" s="23"/>
      <c r="V77" s="23"/>
      <c r="W77" s="22"/>
      <c r="X77" s="23"/>
      <c r="Y77" s="23"/>
      <c r="Z77" s="23"/>
      <c r="AA77" s="22"/>
      <c r="AB77" s="23"/>
      <c r="AC77" s="23"/>
      <c r="AD77" s="23"/>
      <c r="AE77" s="22">
        <f>4344*1.436728125</f>
        <v>6241.1469749999997</v>
      </c>
      <c r="AF77" s="23">
        <f>3883*1.55231076923077</f>
        <v>6027.6227169230797</v>
      </c>
      <c r="AG77" s="23">
        <f>2714*1.64085454545455</f>
        <v>4453.279236363649</v>
      </c>
      <c r="AH77" s="23">
        <f>2711*1.63377878787879</f>
        <v>4429.1742939393998</v>
      </c>
      <c r="AI77" s="22">
        <v>4281.6509999999998</v>
      </c>
      <c r="AJ77" s="23">
        <v>3190.7511999999997</v>
      </c>
      <c r="AK77" s="23">
        <v>2749.3910999999998</v>
      </c>
      <c r="AL77" s="23">
        <v>3208.7769000000003</v>
      </c>
      <c r="AM77" s="22">
        <v>3528.203</v>
      </c>
      <c r="AN77" s="23">
        <v>2797.8510000000001</v>
      </c>
      <c r="AO77" s="23">
        <v>2314.8923999999997</v>
      </c>
      <c r="AP77" s="23">
        <v>1527.9656</v>
      </c>
      <c r="AQ77" s="22">
        <v>3766.2724000000003</v>
      </c>
      <c r="AR77" s="23">
        <v>3115</v>
      </c>
      <c r="AS77" s="23">
        <f>(356+841)*1.574103488</f>
        <v>1884.2018751359999</v>
      </c>
      <c r="AT77" s="24">
        <f>(248+609)*1.6062</f>
        <v>1376.5134</v>
      </c>
      <c r="AU77" s="25">
        <f>(479+940)*1.5525</f>
        <v>2202.9974999999999</v>
      </c>
      <c r="AV77" s="24">
        <f>(239+689)*1.5355</f>
        <v>1424.9440000000002</v>
      </c>
      <c r="AW77" s="24">
        <f>(308+457)*1.5505</f>
        <v>1186.1324999999999</v>
      </c>
      <c r="AX77" s="24">
        <f>(231+494)*1.618899</f>
        <v>1173.701775</v>
      </c>
      <c r="AY77" s="25">
        <f>(346+552)*1.65512698412698</f>
        <v>1486.3040317460282</v>
      </c>
      <c r="AZ77" s="24">
        <f>(270+504)*1.68338</f>
        <v>1302.9361200000001</v>
      </c>
      <c r="BA77" s="26">
        <f>(255+470)*1.6215</f>
        <v>1175.5874999999999</v>
      </c>
      <c r="BB77" s="24">
        <f>(173+424)*1.58331307692308</f>
        <v>945.23790692307887</v>
      </c>
      <c r="BC77" s="25">
        <f>(274+624)*1.51386984126984</f>
        <v>1359.4551174603162</v>
      </c>
      <c r="BD77" s="24">
        <f>(272+554)*1.53311904761905</f>
        <v>1266.3563333333352</v>
      </c>
      <c r="BE77" s="24">
        <f>(228+485)*1.54871287878788</f>
        <v>1104.2322825757585</v>
      </c>
      <c r="BF77" s="24"/>
      <c r="BG77" s="25"/>
      <c r="BH77" s="24"/>
      <c r="BI77" s="24"/>
      <c r="BJ77" s="24"/>
      <c r="BK77" s="24"/>
      <c r="BL77" s="29">
        <f t="shared" ref="BL77:BL82" si="300">SUM(AM77:AP77)</f>
        <v>10168.912</v>
      </c>
      <c r="BM77" s="23">
        <f t="shared" ref="BM77:BM82" si="301">SUM(AQ77:AT77)</f>
        <v>10141.987675135999</v>
      </c>
      <c r="BN77" s="23">
        <f t="shared" ref="BN77:BN82" si="302">SUM(AU77:AX77)</f>
        <v>5987.7757750000001</v>
      </c>
      <c r="BO77" s="23">
        <f t="shared" ref="BO77:BO82" si="303">SUM(AY77:BB77)</f>
        <v>4910.0655586691073</v>
      </c>
      <c r="BP77" s="23">
        <f t="shared" ref="BP77:BP82" si="304">SUM(BC77:BF77)</f>
        <v>3730.0437333694099</v>
      </c>
      <c r="BQ77" s="23"/>
      <c r="BR77" s="23">
        <f t="shared" ref="BR77:BR82" si="305">SUM(AX77:BA77)</f>
        <v>5138.5294267460276</v>
      </c>
      <c r="BS77" s="30">
        <f t="shared" ref="BS77:BS82" si="306">SUM(BB77:BE77)</f>
        <v>4675.2816402924882</v>
      </c>
      <c r="BT77" s="31">
        <f t="shared" ref="BT77:BT82" si="307">AVERAGE(AM77:AP77)</f>
        <v>2542.2280000000001</v>
      </c>
      <c r="BU77" s="31">
        <f t="shared" ref="BU77:BU82" si="308">AVERAGE(AQ77:AT77)</f>
        <v>2535.4969187839997</v>
      </c>
      <c r="BV77" s="31">
        <f t="shared" ref="BV77:BV82" si="309">AVERAGE(AU77:AX77)</f>
        <v>1496.94394375</v>
      </c>
      <c r="BW77" s="31">
        <f t="shared" ref="BW77:BW82" si="310">AVERAGE(AY77:BB77)</f>
        <v>1227.5163896672768</v>
      </c>
      <c r="BX77" s="31">
        <f t="shared" ref="BX77:BX82" si="311">AVERAGE(BC77:BF77)</f>
        <v>1243.3479111231366</v>
      </c>
      <c r="BY77" s="32">
        <f t="shared" ref="BY77:BY82" si="312">AVERAGE(AI77:BD77)</f>
        <v>2148.4146663453985</v>
      </c>
      <c r="BZ77" s="33"/>
      <c r="CA77" s="34">
        <f t="shared" ref="CA77:CA82" si="313">BE77/BD77-1</f>
        <v>-0.12802403753991554</v>
      </c>
      <c r="CB77" s="34">
        <f t="shared" ref="CB77:CB82" si="314">BE77/BA77-1</f>
        <v>-6.069749586844142E-2</v>
      </c>
      <c r="CC77" s="34">
        <f t="shared" ref="CC77:CC82" si="315">BE77/BY77-1</f>
        <v>-0.48602460229238065</v>
      </c>
      <c r="CD77" s="34">
        <f t="shared" ref="CD77:CD82" si="316">BS77/BR77-1</f>
        <v>-9.0151821266671428E-2</v>
      </c>
      <c r="CE77" s="33"/>
      <c r="CF77" s="34">
        <f t="shared" ref="CF77:CF82" si="317">BX77/BY77-1</f>
        <v>-0.4212719124478157</v>
      </c>
      <c r="CG77" s="33"/>
      <c r="CH77" s="34">
        <f t="shared" ref="CH77:CK82" si="318">BM77/BL77-1</f>
        <v>-2.6477094957653158E-3</v>
      </c>
      <c r="CI77" s="34">
        <f t="shared" si="318"/>
        <v>-0.4096052995923497</v>
      </c>
      <c r="CJ77" s="34">
        <f t="shared" si="318"/>
        <v>-0.17998506571179895</v>
      </c>
      <c r="CK77" s="34">
        <f t="shared" si="318"/>
        <v>-0.24032710178711891</v>
      </c>
    </row>
    <row r="78" spans="2:89" s="8" customFormat="1" hidden="1" outlineLevel="1">
      <c r="B78" s="8" t="s">
        <v>73</v>
      </c>
      <c r="O78" s="25">
        <v>2116</v>
      </c>
      <c r="P78" s="24">
        <v>1353</v>
      </c>
      <c r="Q78" s="24">
        <v>1969</v>
      </c>
      <c r="R78" s="24">
        <v>1566</v>
      </c>
      <c r="S78" s="25">
        <v>2767</v>
      </c>
      <c r="T78" s="24">
        <v>1939</v>
      </c>
      <c r="U78" s="24">
        <v>2137</v>
      </c>
      <c r="V78" s="24">
        <v>2755</v>
      </c>
      <c r="W78" s="25">
        <v>2679</v>
      </c>
      <c r="X78" s="24">
        <v>3186</v>
      </c>
      <c r="Y78" s="24">
        <f>(443-414.666666666667)/1.19889112487371</f>
        <v>23.632949435936126</v>
      </c>
      <c r="Z78" s="24">
        <f>-638/1.14587907122353</f>
        <v>-556.77777526625528</v>
      </c>
      <c r="AA78" s="25">
        <f>(-1702-817.333333333333)/1.06675970047235</f>
        <v>-2361.6690171345981</v>
      </c>
      <c r="AB78" s="24">
        <f>(311--453)/1.03106342716605</f>
        <v>740.98254275191152</v>
      </c>
      <c r="AC78" s="24">
        <f>(-1071-1688)/1.07158969959517</f>
        <v>-2574.6794701762324</v>
      </c>
      <c r="AD78" s="24">
        <f>(-2910--1266.66666666667)/1.15387496023516</f>
        <v>-1424.1866666371011</v>
      </c>
      <c r="AE78" s="25">
        <f>(4022-243.333333333333)/1.14636850650843</f>
        <v>3296.2059278613656</v>
      </c>
      <c r="AF78" s="24">
        <f>(3141--179.333333333333)/1.11054400750259</f>
        <v>2989.8259869954672</v>
      </c>
      <c r="AG78" s="24">
        <f>(2476--167.333333333333)/1.06193206768699</f>
        <v>2489.1736616362068</v>
      </c>
      <c r="AH78" s="24">
        <f>(818--162)/1.02143151890403</f>
        <v>959.43779084819619</v>
      </c>
      <c r="AI78" s="25">
        <v>2585.5648000000001</v>
      </c>
      <c r="AJ78" s="24">
        <v>1298.1858</v>
      </c>
      <c r="AK78" s="24">
        <v>1516.5789</v>
      </c>
      <c r="AL78" s="24">
        <v>958.56420000000003</v>
      </c>
      <c r="AM78" s="25">
        <v>2731</v>
      </c>
      <c r="AN78" s="24">
        <v>831</v>
      </c>
      <c r="AO78" s="24">
        <v>755</v>
      </c>
      <c r="AP78" s="24">
        <v>402</v>
      </c>
      <c r="AQ78" s="25">
        <v>2492</v>
      </c>
      <c r="AR78" s="24">
        <v>1420</v>
      </c>
      <c r="AS78" s="24">
        <v>1554.2708081920489</v>
      </c>
      <c r="AT78" s="24">
        <f>887/0.9311</f>
        <v>952.63666630866715</v>
      </c>
      <c r="AU78" s="25">
        <f>1987/0.9304</f>
        <v>2135.640584694755</v>
      </c>
      <c r="AV78" s="24">
        <f>1257/0.9429</f>
        <v>1333.1212217626471</v>
      </c>
      <c r="AW78" s="24">
        <f>833/0.932202</f>
        <v>893.58315043306072</v>
      </c>
      <c r="AX78" s="24">
        <f>746/0.903041</f>
        <v>826.0975968975938</v>
      </c>
      <c r="AY78" s="25">
        <f>1489/0.892953968253968</f>
        <v>1667.499168979009</v>
      </c>
      <c r="AZ78" s="24">
        <f>1428/0.8890421875</f>
        <v>1606.2229892774353</v>
      </c>
      <c r="BA78" s="26">
        <f>1440/0.955109837631328</f>
        <v>1507.6799999999994</v>
      </c>
      <c r="BB78" s="24">
        <f>610/0.964156153846154</f>
        <v>632.67759850582763</v>
      </c>
      <c r="BC78" s="25">
        <f>1676/0.953146825396825</f>
        <v>1758.3859646201186</v>
      </c>
      <c r="BD78" s="24">
        <f>1244/0.941266666666666</f>
        <v>1321.623344429493</v>
      </c>
      <c r="BE78" s="24">
        <f>888/0.9862</f>
        <v>900.42587710403575</v>
      </c>
      <c r="BF78" s="24"/>
      <c r="BG78" s="25"/>
      <c r="BH78" s="24"/>
      <c r="BI78" s="24"/>
      <c r="BJ78" s="24"/>
      <c r="BK78" s="24"/>
      <c r="BL78" s="29">
        <f t="shared" si="300"/>
        <v>4719</v>
      </c>
      <c r="BM78" s="23">
        <f t="shared" si="301"/>
        <v>6418.9074745007165</v>
      </c>
      <c r="BN78" s="23">
        <f t="shared" si="302"/>
        <v>5188.4425537880561</v>
      </c>
      <c r="BO78" s="23">
        <f t="shared" si="303"/>
        <v>5414.0797567622712</v>
      </c>
      <c r="BP78" s="23">
        <f t="shared" si="304"/>
        <v>3980.4351861536475</v>
      </c>
      <c r="BQ78" s="23"/>
      <c r="BR78" s="23">
        <f t="shared" si="305"/>
        <v>5607.4997551540373</v>
      </c>
      <c r="BS78" s="30">
        <f t="shared" si="306"/>
        <v>4613.1127846594745</v>
      </c>
      <c r="BT78" s="31">
        <f t="shared" si="307"/>
        <v>1179.75</v>
      </c>
      <c r="BU78" s="31">
        <f t="shared" si="308"/>
        <v>1604.7268686251791</v>
      </c>
      <c r="BV78" s="31">
        <f t="shared" si="309"/>
        <v>1297.110638447014</v>
      </c>
      <c r="BW78" s="31">
        <f t="shared" si="310"/>
        <v>1353.5199391905678</v>
      </c>
      <c r="BX78" s="31">
        <f t="shared" si="311"/>
        <v>1326.8117287178825</v>
      </c>
      <c r="BY78" s="32">
        <f t="shared" si="312"/>
        <v>1417.2423997318481</v>
      </c>
      <c r="BZ78" s="33"/>
      <c r="CA78" s="34">
        <f t="shared" si="313"/>
        <v>-0.31869705472498</v>
      </c>
      <c r="CB78" s="34">
        <f t="shared" si="314"/>
        <v>-0.40277387966674882</v>
      </c>
      <c r="CC78" s="34">
        <f t="shared" si="315"/>
        <v>-0.36466346386870552</v>
      </c>
      <c r="CD78" s="34">
        <f t="shared" si="316"/>
        <v>-0.1773316119328564</v>
      </c>
      <c r="CE78" s="33"/>
      <c r="CF78" s="34">
        <f t="shared" si="317"/>
        <v>-6.3807483484177197E-2</v>
      </c>
      <c r="CG78" s="33"/>
      <c r="CH78" s="34">
        <f t="shared" si="318"/>
        <v>0.36022620777722314</v>
      </c>
      <c r="CI78" s="34">
        <f t="shared" si="318"/>
        <v>-0.19169382415944081</v>
      </c>
      <c r="CJ78" s="34">
        <f t="shared" si="318"/>
        <v>4.3488426562510174E-2</v>
      </c>
      <c r="CK78" s="34">
        <f t="shared" si="318"/>
        <v>-0.26479930754953862</v>
      </c>
    </row>
    <row r="79" spans="2:89" s="8" customFormat="1" hidden="1" outlineLevel="1">
      <c r="B79" s="8" t="s">
        <v>74</v>
      </c>
      <c r="O79" s="22">
        <f>2380*1.310659375</f>
        <v>3119.3693125</v>
      </c>
      <c r="P79" s="23">
        <f>1640*1.25901230769231</f>
        <v>2064.7801846153884</v>
      </c>
      <c r="Q79" s="23">
        <f>1850*1.22021818181818</f>
        <v>2257.4036363636333</v>
      </c>
      <c r="R79" s="23">
        <f>1466*1.18926615384615</f>
        <v>1743.4641815384559</v>
      </c>
      <c r="S79" s="22">
        <f>2806*1.20340769230769</f>
        <v>3376.761984615378</v>
      </c>
      <c r="T79" s="23">
        <f>2457*1.25839538461538</f>
        <v>3091.8774599999883</v>
      </c>
      <c r="U79" s="23">
        <f>1980*1.27458307692308</f>
        <v>2523.6744923076981</v>
      </c>
      <c r="V79" s="23">
        <f>1773*1.28997538461538</f>
        <v>2287.1263569230687</v>
      </c>
      <c r="W79" s="22">
        <f>3354*1.31110461538462</f>
        <v>4397.4448800000155</v>
      </c>
      <c r="X79" s="23">
        <f>2889*1.34827846153846</f>
        <v>3895.176475384611</v>
      </c>
      <c r="Y79" s="23">
        <f>(576-14.6666666666667)*1.37456923076923</f>
        <v>771.5915282051277</v>
      </c>
      <c r="Z79" s="23">
        <f>(1589--2)*1.44840303030303</f>
        <v>2304.4092212121209</v>
      </c>
      <c r="AA79" s="22">
        <f>(1317-51.3333333333333)*1.49919384615385</f>
        <v>1897.4796779487231</v>
      </c>
      <c r="AB79" s="23">
        <f>600*1.56319846153846</f>
        <v>937.91907692307598</v>
      </c>
      <c r="AC79" s="23">
        <f>(922-97.3333333333333)*1.50399242424242</f>
        <v>1240.2924191919158</v>
      </c>
      <c r="AD79" s="23">
        <f>-2723*1.32013787878788</f>
        <v>-3594.7354439393971</v>
      </c>
      <c r="AE79" s="22">
        <f>3812*1.3063203125</f>
        <v>4979.6930312499999</v>
      </c>
      <c r="AF79" s="23">
        <f>(2547--117.333333333333)*1.36302923076923</f>
        <v>3631.5642138461512</v>
      </c>
      <c r="AG79" s="23">
        <f>(2247--74)*1.43024393939394</f>
        <v>3319.5961833333345</v>
      </c>
      <c r="AH79" s="23">
        <f>1276*1.47664393939394</f>
        <v>1884.1976666666674</v>
      </c>
      <c r="AI79" s="22">
        <f>3849*1.3848</f>
        <v>5330.0951999999997</v>
      </c>
      <c r="AJ79" s="23">
        <f>2184*1.2731</f>
        <v>2780.4503999999997</v>
      </c>
      <c r="AK79" s="23">
        <f>2280*1.2917</f>
        <v>2945.076</v>
      </c>
      <c r="AL79" s="23">
        <f>1612*1.3592</f>
        <v>2191.0304000000001</v>
      </c>
      <c r="AM79" s="22">
        <f>3568*1.3687</f>
        <v>4883.5216</v>
      </c>
      <c r="AN79" s="23">
        <f>2167*1.4394</f>
        <v>3119.1797999999999</v>
      </c>
      <c r="AO79" s="23">
        <f>1524*1.4136</f>
        <v>2154.3263999999999</v>
      </c>
      <c r="AP79" s="23">
        <f>1260*1.3482</f>
        <v>1698.732</v>
      </c>
      <c r="AQ79" s="22">
        <f>3165*1.3114</f>
        <v>4150.5810000000001</v>
      </c>
      <c r="AR79" s="23">
        <f>2132*1.2836</f>
        <v>2736.6352000000002</v>
      </c>
      <c r="AS79" s="23">
        <f>2459*1.2513</f>
        <v>3076.9467000000004</v>
      </c>
      <c r="AT79" s="24">
        <f>1418*1.2975</f>
        <v>1839.8550000000002</v>
      </c>
      <c r="AU79" s="25">
        <f>2717*1.3202</f>
        <v>3586.9834000000001</v>
      </c>
      <c r="AV79" s="24">
        <f>1823*1.3057</f>
        <v>2380.2911000000004</v>
      </c>
      <c r="AW79" s="24">
        <f>1248*1.32442</f>
        <v>1652.8761599999998</v>
      </c>
      <c r="AX79" s="23">
        <f>1017*1.361378</f>
        <v>1384.521426</v>
      </c>
      <c r="AY79" s="25">
        <f>2433*1.37026825396825</f>
        <v>3333.8626619047523</v>
      </c>
      <c r="AZ79" s="24">
        <f>1823.99*1.3713453125</f>
        <v>2501.3201365468749</v>
      </c>
      <c r="BA79" s="26">
        <f>1434.83*1.26871352448617</f>
        <v>1820.3882263384912</v>
      </c>
      <c r="BB79" s="23">
        <f>1147.45*1.24938230769231</f>
        <v>1433.6037289615413</v>
      </c>
      <c r="BC79" s="25">
        <f>2642.12*1.1254753968254</f>
        <v>2973.6410554603258</v>
      </c>
      <c r="BD79" s="24">
        <f>2642.12*1.10673095238095</f>
        <v>2924.1159839047559</v>
      </c>
      <c r="BE79" s="24">
        <f>1725*1.11170378787879</f>
        <v>1917.6890340909129</v>
      </c>
      <c r="BF79" s="23"/>
      <c r="BG79" s="25"/>
      <c r="BH79" s="24"/>
      <c r="BI79" s="24"/>
      <c r="BJ79" s="23"/>
      <c r="BK79" s="24"/>
      <c r="BL79" s="29">
        <f t="shared" si="300"/>
        <v>11855.7598</v>
      </c>
      <c r="BM79" s="23">
        <f t="shared" si="301"/>
        <v>11804.017900000001</v>
      </c>
      <c r="BN79" s="23">
        <f t="shared" si="302"/>
        <v>9004.6720860000005</v>
      </c>
      <c r="BO79" s="23">
        <f t="shared" si="303"/>
        <v>9089.1747537516603</v>
      </c>
      <c r="BP79" s="23">
        <f t="shared" si="304"/>
        <v>7815.4460734559952</v>
      </c>
      <c r="BQ79" s="23"/>
      <c r="BR79" s="23">
        <f t="shared" si="305"/>
        <v>9040.0924507901182</v>
      </c>
      <c r="BS79" s="30">
        <f t="shared" si="306"/>
        <v>9249.0498024175358</v>
      </c>
      <c r="BT79" s="31">
        <f t="shared" si="307"/>
        <v>2963.93995</v>
      </c>
      <c r="BU79" s="31">
        <f t="shared" si="308"/>
        <v>2951.0044750000002</v>
      </c>
      <c r="BV79" s="31">
        <f t="shared" si="309"/>
        <v>2251.1680215000001</v>
      </c>
      <c r="BW79" s="31">
        <f t="shared" si="310"/>
        <v>2272.2936884379151</v>
      </c>
      <c r="BX79" s="31">
        <f t="shared" si="311"/>
        <v>2605.1486911519983</v>
      </c>
      <c r="BY79" s="32">
        <f t="shared" si="312"/>
        <v>2768.0924354143972</v>
      </c>
      <c r="BZ79" s="33"/>
      <c r="CA79" s="34">
        <f t="shared" si="313"/>
        <v>-0.3441816109051522</v>
      </c>
      <c r="CB79" s="34">
        <f t="shared" si="314"/>
        <v>5.345058067538222E-2</v>
      </c>
      <c r="CC79" s="34">
        <f t="shared" si="315"/>
        <v>-0.30721640305200815</v>
      </c>
      <c r="CD79" s="34">
        <f t="shared" si="316"/>
        <v>2.311451489737304E-2</v>
      </c>
      <c r="CE79" s="33"/>
      <c r="CF79" s="34">
        <f t="shared" si="317"/>
        <v>-5.8864993877274729E-2</v>
      </c>
      <c r="CG79" s="33"/>
      <c r="CH79" s="34">
        <f t="shared" si="318"/>
        <v>-4.3642837635762266E-3</v>
      </c>
      <c r="CI79" s="34">
        <f t="shared" si="318"/>
        <v>-0.23715194586412813</v>
      </c>
      <c r="CJ79" s="34">
        <f t="shared" si="318"/>
        <v>9.3843137145481759E-3</v>
      </c>
      <c r="CK79" s="34">
        <f t="shared" si="318"/>
        <v>-0.14013688974017346</v>
      </c>
    </row>
    <row r="80" spans="2:89" s="8" customFormat="1" hidden="1" outlineLevel="1">
      <c r="B80" s="8" t="s">
        <v>75</v>
      </c>
      <c r="O80" s="25">
        <f>2185/1.18179093006696</f>
        <v>1848.8887876946208</v>
      </c>
      <c r="P80" s="24">
        <f>1611/1.2262072165063</f>
        <v>1313.8073062316894</v>
      </c>
      <c r="Q80" s="24">
        <f>1969/1.2731750919634</f>
        <v>1546.5272706235153</v>
      </c>
      <c r="R80" s="24">
        <f>1726/1.30106828551284</f>
        <v>1326.6021616380153</v>
      </c>
      <c r="S80" s="25">
        <f>2307/1.29571400088145</f>
        <v>1780.4855071648458</v>
      </c>
      <c r="T80" s="24">
        <f>2468/1.24200401859975</f>
        <v>1987.1111228629134</v>
      </c>
      <c r="U80" s="24">
        <f>1801/1.23727922517284</f>
        <v>1455.613222430379</v>
      </c>
      <c r="V80" s="24">
        <f>1764/1.23509407876847</f>
        <v>1428.231282396649</v>
      </c>
      <c r="W80" s="25">
        <f>2055/1.23273802977337</f>
        <v>1667.0208514438357</v>
      </c>
      <c r="X80" s="24">
        <f>14691.2224029311</f>
        <v>14691.2224029311</v>
      </c>
      <c r="Y80" s="24">
        <f>-4407/1.19889112487371</f>
        <v>-3675.8967587354764</v>
      </c>
      <c r="Z80" s="24">
        <f>-15954/1.14587907122353</f>
        <v>-13922.93515140727</v>
      </c>
      <c r="AA80" s="25">
        <f>-19014/1.06675970047235</f>
        <v>-17824.070398966891</v>
      </c>
      <c r="AB80" s="24">
        <f>-4645/1.03106342716605</f>
        <v>-4505.057475239043</v>
      </c>
      <c r="AC80" s="24">
        <f>-4518/1.07158969959517</f>
        <v>-4216.1659464502418</v>
      </c>
      <c r="AD80" s="24">
        <f>-3720/1.15387496023516</f>
        <v>-3223.9195131176634</v>
      </c>
      <c r="AE80" s="25">
        <f>-1970/1.14636850650843</f>
        <v>-1718.4700982410611</v>
      </c>
      <c r="AF80" s="24">
        <f>-59/1.11054400750259</f>
        <v>-53.127115721132192</v>
      </c>
      <c r="AG80" s="24">
        <f>985/1.06193206768699</f>
        <v>927.55462422887672</v>
      </c>
      <c r="AH80" s="24">
        <f>496/1.02143151890403</f>
        <v>485.59300434765845</v>
      </c>
      <c r="AI80" s="25">
        <f>2165/1.0572</f>
        <v>2047.8622777147182</v>
      </c>
      <c r="AJ80" s="24">
        <f>1703/1.1085</f>
        <v>1536.3103292737933</v>
      </c>
      <c r="AK80" s="24">
        <f>869/1.0321</f>
        <v>841.97267706617572</v>
      </c>
      <c r="AL80" s="24">
        <f>939/0.9731</f>
        <v>964.95735279005248</v>
      </c>
      <c r="AM80" s="25">
        <f>492/0.9412</f>
        <v>522.73693157671062</v>
      </c>
      <c r="AN80" s="24">
        <f>427/0.8698</f>
        <v>490.91745228788227</v>
      </c>
      <c r="AO80" s="24">
        <f>691/0.8254</f>
        <v>837.16985703901139</v>
      </c>
      <c r="AP80" s="24">
        <f>566/0.9214</f>
        <v>614.28261341436939</v>
      </c>
      <c r="AQ80" s="25">
        <f>607/0.9215</f>
        <v>658.70862723819857</v>
      </c>
      <c r="AR80" s="24">
        <f>458/0.9364</f>
        <v>489.10721913712086</v>
      </c>
      <c r="AS80" s="24">
        <f>417/0.9623</f>
        <v>433.33679725657277</v>
      </c>
      <c r="AT80" s="24">
        <f>304/0.932972</f>
        <v>325.84043251030039</v>
      </c>
      <c r="AU80" s="25">
        <f>635/0.930375</f>
        <v>682.52048905011429</v>
      </c>
      <c r="AV80" s="24">
        <f>406/0.9429</f>
        <v>430.5864884929473</v>
      </c>
      <c r="AW80" s="24">
        <f>327/0.932202</f>
        <v>350.78234116639959</v>
      </c>
      <c r="AX80" s="24">
        <f>320/0.90304</f>
        <v>354.35861091424522</v>
      </c>
      <c r="AY80" s="25">
        <f>412/0.892953968253968</f>
        <v>461.3899648215928</v>
      </c>
      <c r="AZ80" s="24">
        <f>424/0.8890421875</f>
        <v>476.91775031766986</v>
      </c>
      <c r="BA80" s="26">
        <f>325/0.955109837631328</f>
        <v>340.27499999999986</v>
      </c>
      <c r="BB80" s="24">
        <f>298/0.964156153846154</f>
        <v>309.07856451596166</v>
      </c>
      <c r="BC80" s="25">
        <f>721/0.953146825396825</f>
        <v>756.44169480376229</v>
      </c>
      <c r="BD80" s="24">
        <f>413/0.941266666666666</f>
        <v>438.77045116509697</v>
      </c>
      <c r="BE80" s="24">
        <f>446/0.9862</f>
        <v>452.24092476171165</v>
      </c>
      <c r="BF80" s="24"/>
      <c r="BG80" s="25"/>
      <c r="BH80" s="24"/>
      <c r="BI80" s="24"/>
      <c r="BJ80" s="24"/>
      <c r="BK80" s="23"/>
      <c r="BL80" s="29">
        <f t="shared" si="300"/>
        <v>2465.1068543179736</v>
      </c>
      <c r="BM80" s="23">
        <f t="shared" si="301"/>
        <v>1906.9930761421924</v>
      </c>
      <c r="BN80" s="23">
        <f t="shared" si="302"/>
        <v>1818.2479296237063</v>
      </c>
      <c r="BO80" s="23">
        <f t="shared" si="303"/>
        <v>1587.6612796552242</v>
      </c>
      <c r="BP80" s="23">
        <f t="shared" si="304"/>
        <v>1647.4530707305707</v>
      </c>
      <c r="BQ80" s="23"/>
      <c r="BR80" s="23">
        <f t="shared" si="305"/>
        <v>1632.9413260535077</v>
      </c>
      <c r="BS80" s="30">
        <f t="shared" si="306"/>
        <v>1956.5316352465325</v>
      </c>
      <c r="BT80" s="31">
        <f t="shared" si="307"/>
        <v>616.27671357949339</v>
      </c>
      <c r="BU80" s="31">
        <f t="shared" si="308"/>
        <v>476.74826903554811</v>
      </c>
      <c r="BV80" s="31">
        <f t="shared" si="309"/>
        <v>454.56198240592659</v>
      </c>
      <c r="BW80" s="31">
        <f t="shared" si="310"/>
        <v>396.91531991380606</v>
      </c>
      <c r="BX80" s="31">
        <f t="shared" si="311"/>
        <v>549.15102357685691</v>
      </c>
      <c r="BY80" s="32">
        <f t="shared" si="312"/>
        <v>652.92381466148606</v>
      </c>
      <c r="BZ80" s="33"/>
      <c r="CA80" s="34">
        <f t="shared" si="313"/>
        <v>3.0700503100985044E-2</v>
      </c>
      <c r="CB80" s="34">
        <f t="shared" si="314"/>
        <v>0.32904540375200009</v>
      </c>
      <c r="CC80" s="34">
        <f t="shared" si="315"/>
        <v>-0.30736034648057697</v>
      </c>
      <c r="CD80" s="34">
        <f t="shared" si="316"/>
        <v>0.19816407609395115</v>
      </c>
      <c r="CE80" s="33"/>
      <c r="CF80" s="34">
        <f t="shared" si="317"/>
        <v>-0.15893552778195275</v>
      </c>
      <c r="CG80" s="33"/>
      <c r="CH80" s="34">
        <f t="shared" si="318"/>
        <v>-0.22640551146826282</v>
      </c>
      <c r="CI80" s="34">
        <f t="shared" si="318"/>
        <v>-4.6536690472948949E-2</v>
      </c>
      <c r="CJ80" s="34">
        <f t="shared" si="318"/>
        <v>-0.12681804621452419</v>
      </c>
      <c r="CK80" s="34">
        <f t="shared" si="318"/>
        <v>3.76602943219293E-2</v>
      </c>
    </row>
    <row r="81" spans="2:89" s="8" customFormat="1" hidden="1" outlineLevel="1">
      <c r="B81" s="47" t="s">
        <v>76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37">
        <f t="shared" ref="O81:AH81" si="319">AVERAGE(O77:O80)</f>
        <v>2361.4193667315403</v>
      </c>
      <c r="P81" s="38">
        <f t="shared" si="319"/>
        <v>1577.1958302823593</v>
      </c>
      <c r="Q81" s="38">
        <f t="shared" si="319"/>
        <v>1924.3103023290496</v>
      </c>
      <c r="R81" s="38">
        <f t="shared" si="319"/>
        <v>1545.3554477254904</v>
      </c>
      <c r="S81" s="37">
        <f t="shared" si="319"/>
        <v>2641.4158305934075</v>
      </c>
      <c r="T81" s="38">
        <f t="shared" si="319"/>
        <v>2339.3295276209674</v>
      </c>
      <c r="U81" s="38">
        <f t="shared" si="319"/>
        <v>2038.7625715793592</v>
      </c>
      <c r="V81" s="38">
        <f t="shared" si="319"/>
        <v>2156.7858797732392</v>
      </c>
      <c r="W81" s="37">
        <f t="shared" si="319"/>
        <v>2914.4885771479508</v>
      </c>
      <c r="X81" s="38">
        <f t="shared" si="319"/>
        <v>7257.4662927719037</v>
      </c>
      <c r="Y81" s="38">
        <f t="shared" si="319"/>
        <v>-960.22409369813749</v>
      </c>
      <c r="Z81" s="38">
        <f t="shared" si="319"/>
        <v>-4058.4345684871346</v>
      </c>
      <c r="AA81" s="37">
        <f t="shared" si="319"/>
        <v>-6096.0865793842559</v>
      </c>
      <c r="AB81" s="38">
        <f t="shared" si="319"/>
        <v>-942.05195185468517</v>
      </c>
      <c r="AC81" s="38">
        <f t="shared" si="319"/>
        <v>-1850.184332478186</v>
      </c>
      <c r="AD81" s="38">
        <f t="shared" si="319"/>
        <v>-2747.6138745647204</v>
      </c>
      <c r="AE81" s="37">
        <f t="shared" si="319"/>
        <v>3199.6439589675756</v>
      </c>
      <c r="AF81" s="38">
        <f t="shared" si="319"/>
        <v>3148.9714505108918</v>
      </c>
      <c r="AG81" s="38">
        <f t="shared" si="319"/>
        <v>2797.4009263905168</v>
      </c>
      <c r="AH81" s="38">
        <f t="shared" si="319"/>
        <v>1939.6006889504806</v>
      </c>
      <c r="AI81" s="37">
        <f>AVERAGE(AI77:AI80)</f>
        <v>3561.2933194286793</v>
      </c>
      <c r="AJ81" s="38">
        <f t="shared" ref="AJ81:AL81" si="320">AVERAGE(AJ77:AJ80)</f>
        <v>2201.4244323184485</v>
      </c>
      <c r="AK81" s="38">
        <f t="shared" si="320"/>
        <v>2013.2546692665437</v>
      </c>
      <c r="AL81" s="38">
        <f t="shared" si="320"/>
        <v>1830.8322131975133</v>
      </c>
      <c r="AM81" s="37">
        <f>AVERAGE(AM77:AM80)</f>
        <v>2916.3653828941774</v>
      </c>
      <c r="AN81" s="38">
        <f t="shared" ref="AN81:AP81" si="321">AVERAGE(AN77:AN80)</f>
        <v>1809.7370630719706</v>
      </c>
      <c r="AO81" s="38">
        <f t="shared" si="321"/>
        <v>1515.3471642597528</v>
      </c>
      <c r="AP81" s="38">
        <f t="shared" si="321"/>
        <v>1060.7450533535923</v>
      </c>
      <c r="AQ81" s="37">
        <f>AVERAGE(AQ77:AQ80)</f>
        <v>2766.8905068095496</v>
      </c>
      <c r="AR81" s="38">
        <f t="shared" ref="AR81:AT81" si="322">AVERAGE(AR77:AR80)</f>
        <v>1940.1856047842803</v>
      </c>
      <c r="AS81" s="38">
        <f t="shared" si="322"/>
        <v>1737.1890451461556</v>
      </c>
      <c r="AT81" s="38">
        <f t="shared" si="322"/>
        <v>1123.711374704742</v>
      </c>
      <c r="AU81" s="37">
        <f>AVERAGE(AU77:AU80)</f>
        <v>2152.0354934362172</v>
      </c>
      <c r="AV81" s="38">
        <f t="shared" ref="AV81:BE81" si="323">AVERAGE(AV77:AV80)</f>
        <v>1392.2357025638987</v>
      </c>
      <c r="AW81" s="38">
        <f t="shared" si="323"/>
        <v>1020.8435378998649</v>
      </c>
      <c r="AX81" s="38">
        <f t="shared" si="323"/>
        <v>934.66985220295976</v>
      </c>
      <c r="AY81" s="37">
        <f t="shared" si="323"/>
        <v>1737.2639568628456</v>
      </c>
      <c r="AZ81" s="38">
        <f t="shared" si="323"/>
        <v>1471.8492490354949</v>
      </c>
      <c r="BA81" s="39">
        <f t="shared" si="323"/>
        <v>1210.9826815846225</v>
      </c>
      <c r="BB81" s="38">
        <f t="shared" si="323"/>
        <v>830.14944972660237</v>
      </c>
      <c r="BC81" s="37">
        <f t="shared" si="323"/>
        <v>1711.9809580861308</v>
      </c>
      <c r="BD81" s="38">
        <f t="shared" si="323"/>
        <v>1487.7165282081703</v>
      </c>
      <c r="BE81" s="39">
        <f t="shared" si="323"/>
        <v>1093.6470296331047</v>
      </c>
      <c r="BF81" s="38"/>
      <c r="BG81" s="37"/>
      <c r="BH81" s="38"/>
      <c r="BI81" s="38"/>
      <c r="BJ81" s="38"/>
      <c r="BK81" s="23"/>
      <c r="BL81" s="42">
        <f t="shared" si="300"/>
        <v>7302.194663579492</v>
      </c>
      <c r="BM81" s="38">
        <f t="shared" si="301"/>
        <v>7567.9765314447268</v>
      </c>
      <c r="BN81" s="38">
        <f t="shared" si="302"/>
        <v>5499.7845861029409</v>
      </c>
      <c r="BO81" s="38">
        <f t="shared" si="303"/>
        <v>5250.2453372095652</v>
      </c>
      <c r="BP81" s="38">
        <f t="shared" si="304"/>
        <v>4293.3445159274061</v>
      </c>
      <c r="BQ81" s="23"/>
      <c r="BR81" s="38">
        <f t="shared" si="305"/>
        <v>5354.7657396859231</v>
      </c>
      <c r="BS81" s="43">
        <f t="shared" si="306"/>
        <v>5123.4939656540082</v>
      </c>
      <c r="BT81" s="44">
        <f t="shared" si="307"/>
        <v>1825.548665894873</v>
      </c>
      <c r="BU81" s="44">
        <f t="shared" si="308"/>
        <v>1891.9941328611817</v>
      </c>
      <c r="BV81" s="44">
        <f t="shared" si="309"/>
        <v>1374.9461465257352</v>
      </c>
      <c r="BW81" s="44">
        <f t="shared" si="310"/>
        <v>1312.5613343023913</v>
      </c>
      <c r="BX81" s="44">
        <f t="shared" si="311"/>
        <v>1431.1148386424686</v>
      </c>
      <c r="BY81" s="45">
        <f t="shared" si="312"/>
        <v>1746.6683290382825</v>
      </c>
      <c r="BZ81" s="33"/>
      <c r="CA81" s="46">
        <f t="shared" si="313"/>
        <v>-0.26488211369788928</v>
      </c>
      <c r="CB81" s="46">
        <f t="shared" si="314"/>
        <v>-9.6892923190263214E-2</v>
      </c>
      <c r="CC81" s="46">
        <f t="shared" si="315"/>
        <v>-0.37386680032421038</v>
      </c>
      <c r="CD81" s="46">
        <f t="shared" si="316"/>
        <v>-4.3189895744249696E-2</v>
      </c>
      <c r="CE81" s="33"/>
      <c r="CF81" s="46">
        <f t="shared" si="317"/>
        <v>-0.18066022332331289</v>
      </c>
      <c r="CG81" s="33"/>
      <c r="CH81" s="46">
        <f t="shared" si="318"/>
        <v>3.6397532537834287E-2</v>
      </c>
      <c r="CI81" s="46">
        <f t="shared" si="318"/>
        <v>-0.27328202416438629</v>
      </c>
      <c r="CJ81" s="46">
        <f t="shared" si="318"/>
        <v>-4.5372549594746125E-2</v>
      </c>
      <c r="CK81" s="46">
        <f t="shared" si="318"/>
        <v>-0.18225830600722726</v>
      </c>
    </row>
    <row r="82" spans="2:89" s="8" customFormat="1" hidden="1" outlineLevel="1">
      <c r="B82" s="36" t="s">
        <v>77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>
        <f t="shared" ref="O82:AH82" si="324">AVERAGE(O70:O74,O77:O80)</f>
        <v>2539.9706375243277</v>
      </c>
      <c r="P82" s="38">
        <f t="shared" si="324"/>
        <v>1734.8250613558846</v>
      </c>
      <c r="Q82" s="38">
        <f t="shared" si="324"/>
        <v>2367.6466133733934</v>
      </c>
      <c r="R82" s="38">
        <f t="shared" si="324"/>
        <v>1798.7046678970589</v>
      </c>
      <c r="S82" s="37">
        <f t="shared" si="324"/>
        <v>3077.9981864725282</v>
      </c>
      <c r="T82" s="38">
        <f t="shared" si="324"/>
        <v>2907.9406978578627</v>
      </c>
      <c r="U82" s="38">
        <f t="shared" si="324"/>
        <v>2559.0327143422601</v>
      </c>
      <c r="V82" s="38">
        <f t="shared" si="324"/>
        <v>2767.614829914965</v>
      </c>
      <c r="W82" s="37">
        <f t="shared" si="324"/>
        <v>3612.8522164304813</v>
      </c>
      <c r="X82" s="38">
        <f t="shared" si="324"/>
        <v>5000.4607347894635</v>
      </c>
      <c r="Y82" s="38">
        <f t="shared" si="324"/>
        <v>-286.37570180346819</v>
      </c>
      <c r="Z82" s="38">
        <f t="shared" si="324"/>
        <v>-7025.9962965160103</v>
      </c>
      <c r="AA82" s="37">
        <f t="shared" si="324"/>
        <v>-3504.4908006024293</v>
      </c>
      <c r="AB82" s="38">
        <f t="shared" si="324"/>
        <v>-726.39448194550687</v>
      </c>
      <c r="AC82" s="38">
        <f t="shared" si="324"/>
        <v>-1398.4024580126534</v>
      </c>
      <c r="AD82" s="38">
        <f t="shared" si="324"/>
        <v>-7666.1468696284364</v>
      </c>
      <c r="AE82" s="37">
        <f t="shared" si="324"/>
        <v>4346.9899076892934</v>
      </c>
      <c r="AF82" s="38">
        <f t="shared" si="324"/>
        <v>4317.5428668937293</v>
      </c>
      <c r="AG82" s="38">
        <f t="shared" si="324"/>
        <v>3825.4004117291179</v>
      </c>
      <c r="AH82" s="38">
        <f t="shared" si="324"/>
        <v>2439.9336395335467</v>
      </c>
      <c r="AI82" s="37">
        <f>AVERAGE(AI70:AI74,AI77:AI80)</f>
        <v>4318.0192530794129</v>
      </c>
      <c r="AJ82" s="38">
        <f t="shared" ref="AJ82:BE82" si="325">AVERAGE(AJ70:AJ74,AJ77:AJ80)</f>
        <v>2508.5219699193103</v>
      </c>
      <c r="AK82" s="38">
        <f t="shared" si="325"/>
        <v>2455.2242974517976</v>
      </c>
      <c r="AL82" s="38">
        <f t="shared" si="325"/>
        <v>1856.3698725322283</v>
      </c>
      <c r="AM82" s="37">
        <f t="shared" si="325"/>
        <v>3412.2735035085234</v>
      </c>
      <c r="AN82" s="38">
        <f t="shared" si="325"/>
        <v>2264.5498058097646</v>
      </c>
      <c r="AO82" s="38">
        <f t="shared" si="325"/>
        <v>1579.2654063376679</v>
      </c>
      <c r="AP82" s="38">
        <f t="shared" si="325"/>
        <v>1321.8866903793742</v>
      </c>
      <c r="AQ82" s="37">
        <f t="shared" si="325"/>
        <v>3462.5068919153555</v>
      </c>
      <c r="AR82" s="38">
        <f t="shared" si="325"/>
        <v>2181.0824910152355</v>
      </c>
      <c r="AS82" s="38">
        <f t="shared" si="325"/>
        <v>2317.195131176069</v>
      </c>
      <c r="AT82" s="38">
        <f t="shared" si="325"/>
        <v>1680.9828332021073</v>
      </c>
      <c r="AU82" s="37">
        <f t="shared" si="325"/>
        <v>2862.0157748605416</v>
      </c>
      <c r="AV82" s="38">
        <f t="shared" si="325"/>
        <v>2100.6603122506217</v>
      </c>
      <c r="AW82" s="38">
        <f t="shared" si="325"/>
        <v>1613.152683511051</v>
      </c>
      <c r="AX82" s="38">
        <f t="shared" si="325"/>
        <v>1513.7421565346488</v>
      </c>
      <c r="AY82" s="37">
        <f t="shared" si="325"/>
        <v>2466.8950919390427</v>
      </c>
      <c r="AZ82" s="38">
        <f t="shared" si="325"/>
        <v>1980.4515180898497</v>
      </c>
      <c r="BA82" s="39">
        <f t="shared" si="325"/>
        <v>1880.2145251487211</v>
      </c>
      <c r="BB82" s="38">
        <f t="shared" si="325"/>
        <v>1252.6219776562677</v>
      </c>
      <c r="BC82" s="37">
        <f t="shared" si="325"/>
        <v>2478.4359813716133</v>
      </c>
      <c r="BD82" s="38">
        <f t="shared" si="325"/>
        <v>1868.3184569814091</v>
      </c>
      <c r="BE82" s="39">
        <f t="shared" si="325"/>
        <v>1532.0653465036021</v>
      </c>
      <c r="BF82" s="38"/>
      <c r="BG82" s="37"/>
      <c r="BH82" s="38"/>
      <c r="BI82" s="38"/>
      <c r="BJ82" s="38"/>
      <c r="BK82" s="23"/>
      <c r="BL82" s="42">
        <f t="shared" si="300"/>
        <v>8577.9754060353298</v>
      </c>
      <c r="BM82" s="38">
        <f t="shared" si="301"/>
        <v>9641.7673473087689</v>
      </c>
      <c r="BN82" s="38">
        <f t="shared" si="302"/>
        <v>8089.570927156863</v>
      </c>
      <c r="BO82" s="38">
        <f t="shared" si="303"/>
        <v>7580.1831128338808</v>
      </c>
      <c r="BP82" s="38">
        <f t="shared" si="304"/>
        <v>5878.8197848566242</v>
      </c>
      <c r="BQ82" s="23"/>
      <c r="BR82" s="38">
        <f t="shared" si="305"/>
        <v>7841.3032917122619</v>
      </c>
      <c r="BS82" s="43">
        <f t="shared" si="306"/>
        <v>7131.4417625128926</v>
      </c>
      <c r="BT82" s="44">
        <f t="shared" si="307"/>
        <v>2144.4938515088324</v>
      </c>
      <c r="BU82" s="44">
        <f t="shared" si="308"/>
        <v>2410.4418368271922</v>
      </c>
      <c r="BV82" s="44">
        <f t="shared" si="309"/>
        <v>2022.3927317892158</v>
      </c>
      <c r="BW82" s="44">
        <f t="shared" si="310"/>
        <v>1895.0457782084702</v>
      </c>
      <c r="BX82" s="44">
        <f t="shared" si="311"/>
        <v>1959.6065949522081</v>
      </c>
      <c r="BY82" s="45">
        <f t="shared" si="312"/>
        <v>2244.2903011213921</v>
      </c>
      <c r="BZ82" s="33"/>
      <c r="CA82" s="46">
        <f t="shared" si="313"/>
        <v>-0.17997633605840513</v>
      </c>
      <c r="CB82" s="46">
        <f t="shared" si="314"/>
        <v>-0.18516460435150672</v>
      </c>
      <c r="CC82" s="46">
        <f t="shared" si="315"/>
        <v>-0.31734974493358392</v>
      </c>
      <c r="CD82" s="46">
        <f t="shared" si="316"/>
        <v>-9.0528513282944423E-2</v>
      </c>
      <c r="CE82" s="33"/>
      <c r="CF82" s="46">
        <f t="shared" si="317"/>
        <v>-0.12684798665615482</v>
      </c>
      <c r="CG82" s="33"/>
      <c r="CH82" s="46">
        <f t="shared" si="318"/>
        <v>0.12401433798993766</v>
      </c>
      <c r="CI82" s="46">
        <f t="shared" si="318"/>
        <v>-0.16098671169297174</v>
      </c>
      <c r="CJ82" s="46">
        <f t="shared" si="318"/>
        <v>-6.296845888487812E-2</v>
      </c>
      <c r="CK82" s="46">
        <f t="shared" si="318"/>
        <v>-0.22444884281181898</v>
      </c>
    </row>
    <row r="83" spans="2:89" s="8" customFormat="1" hidden="1" outlineLevel="1">
      <c r="O83" s="56"/>
      <c r="P83" s="57"/>
      <c r="Q83" s="57"/>
      <c r="R83" s="57"/>
      <c r="S83" s="56"/>
      <c r="T83" s="57"/>
      <c r="U83" s="57"/>
      <c r="V83" s="57"/>
      <c r="W83" s="56"/>
      <c r="X83" s="57"/>
      <c r="Y83" s="57"/>
      <c r="Z83" s="57"/>
      <c r="AA83" s="56"/>
      <c r="AB83" s="57"/>
      <c r="AC83" s="57"/>
      <c r="AD83" s="57"/>
      <c r="AE83" s="56"/>
      <c r="AF83" s="57"/>
      <c r="AG83" s="57"/>
      <c r="AH83" s="57"/>
      <c r="AI83" s="56"/>
      <c r="AJ83" s="57"/>
      <c r="AK83" s="57"/>
      <c r="AL83" s="57"/>
      <c r="AM83" s="56"/>
      <c r="AN83" s="57"/>
      <c r="AO83" s="57"/>
      <c r="AP83" s="57"/>
      <c r="AQ83" s="56"/>
      <c r="AR83" s="57"/>
      <c r="AS83" s="57"/>
      <c r="AT83" s="57"/>
      <c r="AU83" s="56"/>
      <c r="AV83" s="57"/>
      <c r="AW83" s="57"/>
      <c r="AX83" s="57"/>
      <c r="AY83" s="56"/>
      <c r="AZ83" s="57"/>
      <c r="BA83" s="58"/>
      <c r="BB83" s="57"/>
      <c r="BC83" s="56"/>
      <c r="BD83" s="57"/>
      <c r="BE83" s="57"/>
      <c r="BF83" s="57"/>
      <c r="BG83" s="56"/>
      <c r="BH83" s="57"/>
      <c r="BI83" s="57"/>
      <c r="BJ83" s="57"/>
      <c r="BK83" s="57"/>
      <c r="BL83" s="59"/>
      <c r="BM83" s="57"/>
      <c r="BN83" s="57"/>
      <c r="BO83" s="57"/>
      <c r="BP83" s="57"/>
      <c r="BQ83" s="57"/>
      <c r="BR83" s="57"/>
      <c r="BS83" s="60"/>
      <c r="BT83" s="33"/>
      <c r="BU83" s="33"/>
      <c r="BV83" s="33"/>
      <c r="BW83" s="33"/>
      <c r="BX83" s="33"/>
      <c r="BY83" s="61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</row>
    <row r="84" spans="2:89" collapsed="1">
      <c r="B84" s="14" t="s">
        <v>82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48"/>
      <c r="P84" s="49"/>
      <c r="Q84" s="49"/>
      <c r="R84" s="49"/>
      <c r="S84" s="48"/>
      <c r="T84" s="49"/>
      <c r="U84" s="49"/>
      <c r="V84" s="49"/>
      <c r="W84" s="48"/>
      <c r="X84" s="49"/>
      <c r="Y84" s="49"/>
      <c r="Z84" s="49"/>
      <c r="AA84" s="48"/>
      <c r="AB84" s="49"/>
      <c r="AC84" s="49"/>
      <c r="AD84" s="49"/>
      <c r="AE84" s="48"/>
      <c r="AF84" s="49"/>
      <c r="AG84" s="49"/>
      <c r="AH84" s="49"/>
      <c r="AI84" s="48"/>
      <c r="AJ84" s="49"/>
      <c r="AK84" s="49"/>
      <c r="AL84" s="49"/>
      <c r="AM84" s="48"/>
      <c r="AN84" s="49"/>
      <c r="AO84" s="49"/>
      <c r="AP84" s="49"/>
      <c r="AQ84" s="48"/>
      <c r="AR84" s="49"/>
      <c r="AS84" s="49"/>
      <c r="AT84" s="49"/>
      <c r="AU84" s="48"/>
      <c r="AV84" s="49"/>
      <c r="AW84" s="49"/>
      <c r="AX84" s="49"/>
      <c r="AY84" s="48"/>
      <c r="AZ84" s="49"/>
      <c r="BA84" s="50"/>
      <c r="BB84" s="49"/>
      <c r="BC84" s="48"/>
      <c r="BD84" s="49"/>
      <c r="BE84" s="49"/>
      <c r="BF84" s="49"/>
      <c r="BG84" s="48"/>
      <c r="BH84" s="49"/>
      <c r="BI84" s="49"/>
      <c r="BJ84" s="49"/>
      <c r="BK84" s="49"/>
      <c r="BL84" s="51"/>
      <c r="BM84" s="49"/>
      <c r="BN84" s="49"/>
      <c r="BO84" s="49"/>
      <c r="BP84" s="49"/>
      <c r="BQ84" s="49"/>
      <c r="BR84" s="49"/>
      <c r="BS84" s="52"/>
      <c r="BT84" s="53"/>
      <c r="BU84" s="53"/>
      <c r="BV84" s="53"/>
      <c r="BW84" s="53"/>
      <c r="BX84" s="53"/>
      <c r="BY84" s="54"/>
      <c r="BZ84" s="55"/>
      <c r="CA84" s="53"/>
      <c r="CB84" s="53"/>
      <c r="CC84" s="53"/>
      <c r="CD84" s="53"/>
      <c r="CE84" s="55"/>
      <c r="CF84" s="53"/>
      <c r="CG84" s="55"/>
      <c r="CH84" s="53"/>
      <c r="CI84" s="53"/>
      <c r="CJ84" s="53"/>
      <c r="CK84" s="53"/>
    </row>
    <row r="85" spans="2:89" s="8" customFormat="1">
      <c r="B85" s="8" t="s">
        <v>66</v>
      </c>
      <c r="C85" s="76">
        <f>SUM(O85:R85)</f>
        <v>5650</v>
      </c>
      <c r="D85" s="76">
        <f>SUM(S85:V85)</f>
        <v>8483</v>
      </c>
      <c r="E85" s="76">
        <f>SUM(W85:Z85)</f>
        <v>11220.666666666666</v>
      </c>
      <c r="F85" s="76">
        <f>SUM(AA85:AD85)</f>
        <v>8881</v>
      </c>
      <c r="G85" s="76">
        <f>SUM(AE85:AH85)</f>
        <v>10163.666666666666</v>
      </c>
      <c r="H85" s="76">
        <f>SUM(AI85:AL85)</f>
        <v>8049</v>
      </c>
      <c r="I85" s="76">
        <f>SUM(AM85:AP85)</f>
        <v>8092</v>
      </c>
      <c r="J85" s="76">
        <f>SUM(AQ85:AT85)</f>
        <v>8007</v>
      </c>
      <c r="K85" s="76">
        <f>SUM(AU85:AX85)</f>
        <v>7146</v>
      </c>
      <c r="L85" s="76">
        <f>SUM(AY85:BB85)</f>
        <v>6586</v>
      </c>
      <c r="M85" s="76">
        <f>SUM(BC85:BE85)</f>
        <v>6019</v>
      </c>
      <c r="O85" s="22">
        <v>1550</v>
      </c>
      <c r="P85" s="23">
        <v>1105</v>
      </c>
      <c r="Q85" s="23">
        <v>1593</v>
      </c>
      <c r="R85" s="23">
        <v>1402</v>
      </c>
      <c r="S85" s="22">
        <v>2449</v>
      </c>
      <c r="T85" s="23">
        <v>2352</v>
      </c>
      <c r="U85" s="23">
        <v>1551</v>
      </c>
      <c r="V85" s="23">
        <v>2131</v>
      </c>
      <c r="W85" s="22">
        <v>3087</v>
      </c>
      <c r="X85" s="23">
        <v>2497</v>
      </c>
      <c r="Y85" s="23">
        <f>3129-100</f>
        <v>3029</v>
      </c>
      <c r="Z85" s="23">
        <f>2591--16.6666666666667</f>
        <v>2607.6666666666665</v>
      </c>
      <c r="AA85" s="22">
        <f>2514-100</f>
        <v>2414</v>
      </c>
      <c r="AB85" s="23">
        <f>2487--66.6666666666667</f>
        <v>2553.6666666666665</v>
      </c>
      <c r="AC85" s="23">
        <f>1562-58.3333333333333</f>
        <v>1503.6666666666667</v>
      </c>
      <c r="AD85" s="23">
        <f>2643-233.333333333333</f>
        <v>2409.666666666667</v>
      </c>
      <c r="AE85" s="22">
        <f>2001--66.6666666666667</f>
        <v>2067.6666666666665</v>
      </c>
      <c r="AF85" s="23">
        <f>3178--100</f>
        <v>3278</v>
      </c>
      <c r="AG85" s="23">
        <f>2775--55</f>
        <v>2830</v>
      </c>
      <c r="AH85" s="23">
        <f>1932--56</f>
        <v>1988</v>
      </c>
      <c r="AI85" s="22">
        <v>2468</v>
      </c>
      <c r="AJ85" s="23">
        <v>1536</v>
      </c>
      <c r="AK85" s="23">
        <v>2018</v>
      </c>
      <c r="AL85" s="23">
        <v>2027</v>
      </c>
      <c r="AM85" s="22">
        <v>2316</v>
      </c>
      <c r="AN85" s="23">
        <v>1882</v>
      </c>
      <c r="AO85" s="23">
        <v>2181</v>
      </c>
      <c r="AP85" s="23">
        <v>1713</v>
      </c>
      <c r="AQ85" s="22">
        <v>2355</v>
      </c>
      <c r="AR85" s="23">
        <v>1690</v>
      </c>
      <c r="AS85" s="23">
        <v>2105</v>
      </c>
      <c r="AT85" s="23">
        <v>1857</v>
      </c>
      <c r="AU85" s="22">
        <v>1957</v>
      </c>
      <c r="AV85" s="24">
        <v>1823</v>
      </c>
      <c r="AW85" s="24">
        <v>1641</v>
      </c>
      <c r="AX85" s="24">
        <v>1725</v>
      </c>
      <c r="AY85" s="25">
        <v>1596</v>
      </c>
      <c r="AZ85" s="24">
        <v>1626</v>
      </c>
      <c r="BA85" s="24">
        <v>1460</v>
      </c>
      <c r="BB85" s="24">
        <v>1904</v>
      </c>
      <c r="BC85" s="25">
        <v>2337</v>
      </c>
      <c r="BD85" s="24">
        <v>1965</v>
      </c>
      <c r="BE85" s="24">
        <v>1717</v>
      </c>
      <c r="BF85" s="27"/>
      <c r="BG85" s="28"/>
      <c r="BH85" s="27"/>
      <c r="BI85" s="27"/>
      <c r="BJ85" s="27"/>
      <c r="BK85" s="23"/>
      <c r="BL85" s="29">
        <f t="shared" ref="BL85:BL90" si="326">SUM(AM85:AP85)</f>
        <v>8092</v>
      </c>
      <c r="BM85" s="23">
        <f t="shared" ref="BM85:BM90" si="327">SUM(AQ85:AT85)</f>
        <v>8007</v>
      </c>
      <c r="BN85" s="23">
        <f t="shared" ref="BN85:BN90" si="328">SUM(AU85:AX85)</f>
        <v>7146</v>
      </c>
      <c r="BO85" s="23">
        <f t="shared" ref="BO85:BO90" si="329">SUM(AY85:BB85)</f>
        <v>6586</v>
      </c>
      <c r="BP85" s="23">
        <f t="shared" ref="BP85:BP90" si="330">SUM(BC85:BF85)</f>
        <v>6019</v>
      </c>
      <c r="BQ85" s="23"/>
      <c r="BR85" s="23">
        <f t="shared" ref="BR85:BR90" si="331">SUM(AX85:BA85)</f>
        <v>6407</v>
      </c>
      <c r="BS85" s="30">
        <f t="shared" ref="BS85:BS90" si="332">SUM(BB85:BE85)</f>
        <v>7923</v>
      </c>
      <c r="BT85" s="31">
        <f t="shared" ref="BT85:BT90" si="333">AVERAGE(AM85:AP85)</f>
        <v>2023</v>
      </c>
      <c r="BU85" s="31">
        <f t="shared" ref="BU85:BU90" si="334">AVERAGE(AQ85:AT85)</f>
        <v>2001.75</v>
      </c>
      <c r="BV85" s="31">
        <f t="shared" ref="BV85:BV90" si="335">AVERAGE(AU85:AX85)</f>
        <v>1786.5</v>
      </c>
      <c r="BW85" s="31">
        <f t="shared" ref="BW85:BW90" si="336">AVERAGE(AY85:BB85)</f>
        <v>1646.5</v>
      </c>
      <c r="BX85" s="31">
        <f t="shared" ref="BX85:BX90" si="337">AVERAGE(BC85:BF85)</f>
        <v>2006.3333333333333</v>
      </c>
      <c r="BY85" s="32">
        <f t="shared" ref="BY85:BY90" si="338">AVERAGE(AI85:BD85)</f>
        <v>1917.3636363636363</v>
      </c>
      <c r="BZ85" s="33"/>
      <c r="CA85" s="34">
        <f t="shared" ref="CA85:CA90" si="339">BE85/BD85-1</f>
        <v>-0.12620865139949111</v>
      </c>
      <c r="CB85" s="34">
        <f t="shared" ref="CB85:CB90" si="340">BE85/BA85-1</f>
        <v>0.17602739726027394</v>
      </c>
      <c r="CC85" s="34">
        <f t="shared" ref="CC85:CC90" si="341">BE85/BY85-1</f>
        <v>-0.10449954957090701</v>
      </c>
      <c r="CD85" s="34">
        <f t="shared" ref="CD85:CD90" si="342">BS85/BR85-1</f>
        <v>0.23661620103012337</v>
      </c>
      <c r="CE85" s="33"/>
      <c r="CF85" s="34">
        <f t="shared" ref="CF85:CF90" si="343">BX85/BY85-1</f>
        <v>4.6402098841527906E-2</v>
      </c>
      <c r="CG85" s="33"/>
      <c r="CH85" s="34">
        <f t="shared" ref="CH85:CK90" si="344">BM85/BL85-1</f>
        <v>-1.0504201680672232E-2</v>
      </c>
      <c r="CI85" s="34">
        <f t="shared" si="344"/>
        <v>-0.10753091045335328</v>
      </c>
      <c r="CJ85" s="34">
        <f t="shared" si="344"/>
        <v>-7.8365519171564535E-2</v>
      </c>
      <c r="CK85" s="34">
        <f t="shared" si="344"/>
        <v>-8.6091709687215356E-2</v>
      </c>
    </row>
    <row r="86" spans="2:89" s="8" customFormat="1">
      <c r="B86" s="8" t="s">
        <v>67</v>
      </c>
      <c r="C86" s="76">
        <f t="shared" ref="C86:C90" si="345">SUM(O86:R86)</f>
        <v>4804</v>
      </c>
      <c r="D86" s="76">
        <f t="shared" ref="D86:D90" si="346">SUM(S86:V86)</f>
        <v>6281</v>
      </c>
      <c r="E86" s="76">
        <f t="shared" ref="E86:E90" si="347">SUM(W86:Z86)</f>
        <v>8650</v>
      </c>
      <c r="F86" s="76">
        <f t="shared" ref="F86:F90" si="348">SUM(AA86:AD86)</f>
        <v>7710</v>
      </c>
      <c r="G86" s="76">
        <f t="shared" ref="G86:G90" si="349">SUM(AE86:AH86)</f>
        <v>5288</v>
      </c>
      <c r="H86" s="76">
        <f t="shared" ref="H86:H90" si="350">SUM(AI86:AL86)</f>
        <v>4962</v>
      </c>
      <c r="I86" s="76">
        <f t="shared" ref="I86:I90" si="351">SUM(AM86:AP86)</f>
        <v>6151</v>
      </c>
      <c r="J86" s="76">
        <f t="shared" ref="J86:J90" si="352">SUM(AQ86:AT86)</f>
        <v>5837</v>
      </c>
      <c r="K86" s="76">
        <f t="shared" ref="K86:K90" si="353">SUM(AU86:AX86)</f>
        <v>6613</v>
      </c>
      <c r="L86" s="76">
        <f t="shared" ref="L86:L90" si="354">SUM(AY86:BB86)</f>
        <v>6903</v>
      </c>
      <c r="M86" s="76">
        <f t="shared" ref="M86:M90" si="355">SUM(BC86:BE86)</f>
        <v>6307</v>
      </c>
      <c r="O86" s="22">
        <v>1214</v>
      </c>
      <c r="P86" s="23">
        <v>1119</v>
      </c>
      <c r="Q86" s="23">
        <v>1280</v>
      </c>
      <c r="R86" s="23">
        <v>1191</v>
      </c>
      <c r="S86" s="22">
        <v>1656</v>
      </c>
      <c r="T86" s="23">
        <v>1669</v>
      </c>
      <c r="U86" s="23">
        <v>1520</v>
      </c>
      <c r="V86" s="23">
        <v>1436</v>
      </c>
      <c r="W86" s="22">
        <v>2318</v>
      </c>
      <c r="X86" s="23">
        <v>2374</v>
      </c>
      <c r="Y86" s="23">
        <v>1880</v>
      </c>
      <c r="Z86" s="23">
        <f>2468-390</f>
        <v>2078</v>
      </c>
      <c r="AA86" s="22">
        <f>3414-321</f>
        <v>3093</v>
      </c>
      <c r="AB86" s="23">
        <f>2228--200</f>
        <v>2428</v>
      </c>
      <c r="AC86" s="23">
        <f>6031-509</f>
        <v>5522</v>
      </c>
      <c r="AD86" s="23">
        <f>-2648-685</f>
        <v>-3333</v>
      </c>
      <c r="AE86" s="22">
        <f>877--500</f>
        <v>1377</v>
      </c>
      <c r="AF86" s="23">
        <f>776--800</f>
        <v>1576</v>
      </c>
      <c r="AG86" s="23">
        <f>1186--206</f>
        <v>1392</v>
      </c>
      <c r="AH86" s="23">
        <f>722--221</f>
        <v>943</v>
      </c>
      <c r="AI86" s="22">
        <v>1371</v>
      </c>
      <c r="AJ86" s="23">
        <v>1286</v>
      </c>
      <c r="AK86" s="23">
        <v>1121</v>
      </c>
      <c r="AL86" s="23">
        <v>1184</v>
      </c>
      <c r="AM86" s="22">
        <v>1732</v>
      </c>
      <c r="AN86" s="23">
        <v>1801</v>
      </c>
      <c r="AO86" s="23">
        <v>1341</v>
      </c>
      <c r="AP86" s="23">
        <v>1277</v>
      </c>
      <c r="AQ86" s="22">
        <v>1956</v>
      </c>
      <c r="AR86" s="23">
        <v>1252</v>
      </c>
      <c r="AS86" s="23">
        <v>1228</v>
      </c>
      <c r="AT86" s="24">
        <v>1401</v>
      </c>
      <c r="AU86" s="25">
        <v>1594</v>
      </c>
      <c r="AV86" s="24">
        <v>1806</v>
      </c>
      <c r="AW86" s="24">
        <v>1710</v>
      </c>
      <c r="AX86" s="24">
        <v>1503</v>
      </c>
      <c r="AY86" s="25">
        <v>1705</v>
      </c>
      <c r="AZ86" s="24">
        <v>1789</v>
      </c>
      <c r="BA86" s="24">
        <v>1784</v>
      </c>
      <c r="BB86" s="24">
        <v>1625</v>
      </c>
      <c r="BC86" s="25">
        <v>2268</v>
      </c>
      <c r="BD86" s="24">
        <v>2270</v>
      </c>
      <c r="BE86" s="24">
        <v>1769</v>
      </c>
      <c r="BF86" s="27"/>
      <c r="BG86" s="28"/>
      <c r="BH86" s="27"/>
      <c r="BI86" s="27"/>
      <c r="BJ86" s="27"/>
      <c r="BK86" s="24"/>
      <c r="BL86" s="29">
        <f t="shared" si="326"/>
        <v>6151</v>
      </c>
      <c r="BM86" s="23">
        <f t="shared" si="327"/>
        <v>5837</v>
      </c>
      <c r="BN86" s="23">
        <f t="shared" si="328"/>
        <v>6613</v>
      </c>
      <c r="BO86" s="23">
        <f t="shared" si="329"/>
        <v>6903</v>
      </c>
      <c r="BP86" s="23">
        <f t="shared" si="330"/>
        <v>6307</v>
      </c>
      <c r="BQ86" s="23"/>
      <c r="BR86" s="23">
        <f t="shared" si="331"/>
        <v>6781</v>
      </c>
      <c r="BS86" s="30">
        <f t="shared" si="332"/>
        <v>7932</v>
      </c>
      <c r="BT86" s="31">
        <f t="shared" si="333"/>
        <v>1537.75</v>
      </c>
      <c r="BU86" s="31">
        <f t="shared" si="334"/>
        <v>1459.25</v>
      </c>
      <c r="BV86" s="31">
        <f t="shared" si="335"/>
        <v>1653.25</v>
      </c>
      <c r="BW86" s="31">
        <f t="shared" si="336"/>
        <v>1725.75</v>
      </c>
      <c r="BX86" s="31">
        <f t="shared" si="337"/>
        <v>2102.3333333333335</v>
      </c>
      <c r="BY86" s="32">
        <f t="shared" si="338"/>
        <v>1591.090909090909</v>
      </c>
      <c r="BZ86" s="33"/>
      <c r="CA86" s="34">
        <f t="shared" si="339"/>
        <v>-0.22070484581497796</v>
      </c>
      <c r="CB86" s="34">
        <f t="shared" si="340"/>
        <v>-8.4080717488789203E-3</v>
      </c>
      <c r="CC86" s="34">
        <f t="shared" si="341"/>
        <v>0.11181579248085938</v>
      </c>
      <c r="CD86" s="34">
        <f t="shared" si="342"/>
        <v>0.16973897655213088</v>
      </c>
      <c r="CE86" s="33"/>
      <c r="CF86" s="34">
        <f t="shared" si="343"/>
        <v>0.32131565916276261</v>
      </c>
      <c r="CG86" s="33"/>
      <c r="CH86" s="34">
        <f t="shared" si="344"/>
        <v>-5.1048609982116688E-2</v>
      </c>
      <c r="CI86" s="34">
        <f t="shared" si="344"/>
        <v>0.13294500599623094</v>
      </c>
      <c r="CJ86" s="34">
        <f t="shared" si="344"/>
        <v>4.3853016785120325E-2</v>
      </c>
      <c r="CK86" s="34">
        <f t="shared" si="344"/>
        <v>-8.6339272779950793E-2</v>
      </c>
    </row>
    <row r="87" spans="2:89" s="8" customFormat="1">
      <c r="B87" s="8" t="s">
        <v>68</v>
      </c>
      <c r="C87" s="76">
        <f t="shared" si="345"/>
        <v>5813</v>
      </c>
      <c r="D87" s="76">
        <f t="shared" si="346"/>
        <v>8235</v>
      </c>
      <c r="E87" s="76">
        <f t="shared" si="347"/>
        <v>9272.6666666666679</v>
      </c>
      <c r="F87" s="76">
        <f t="shared" si="348"/>
        <v>7021.666666666667</v>
      </c>
      <c r="G87" s="76">
        <f t="shared" si="349"/>
        <v>5146</v>
      </c>
      <c r="H87" s="76">
        <f t="shared" si="350"/>
        <v>4152</v>
      </c>
      <c r="I87" s="76">
        <f t="shared" si="351"/>
        <v>3738</v>
      </c>
      <c r="J87" s="76">
        <f t="shared" si="352"/>
        <v>3267</v>
      </c>
      <c r="K87" s="76">
        <f t="shared" si="353"/>
        <v>4209</v>
      </c>
      <c r="L87" s="76">
        <f t="shared" si="354"/>
        <v>4139</v>
      </c>
      <c r="M87" s="76">
        <f t="shared" si="355"/>
        <v>3486</v>
      </c>
      <c r="O87" s="22">
        <v>1460</v>
      </c>
      <c r="P87" s="23">
        <v>1372</v>
      </c>
      <c r="Q87" s="23">
        <v>1560</v>
      </c>
      <c r="R87" s="23">
        <v>1421</v>
      </c>
      <c r="S87" s="22">
        <v>2019</v>
      </c>
      <c r="T87" s="23">
        <v>2233</v>
      </c>
      <c r="U87" s="23">
        <v>1849</v>
      </c>
      <c r="V87" s="23">
        <v>2134</v>
      </c>
      <c r="W87" s="22">
        <v>3107</v>
      </c>
      <c r="X87" s="23">
        <v>2589</v>
      </c>
      <c r="Y87" s="23">
        <f>1833-200</f>
        <v>1633</v>
      </c>
      <c r="Z87" s="23">
        <f>2377-433.333333333333</f>
        <v>1943.666666666667</v>
      </c>
      <c r="AA87" s="22">
        <f>2191-700</f>
        <v>1491</v>
      </c>
      <c r="AB87" s="23">
        <f>2003-32.6666666666667</f>
        <v>1970.3333333333333</v>
      </c>
      <c r="AC87" s="23">
        <f>6206-733.333333333333</f>
        <v>5472.666666666667</v>
      </c>
      <c r="AD87" s="23">
        <f>-1791-121.333333333333</f>
        <v>-1912.333333333333</v>
      </c>
      <c r="AE87" s="22">
        <v>1489</v>
      </c>
      <c r="AF87" s="23">
        <v>1198</v>
      </c>
      <c r="AG87" s="23">
        <v>1265</v>
      </c>
      <c r="AH87" s="23">
        <v>1194</v>
      </c>
      <c r="AI87" s="22">
        <v>1514</v>
      </c>
      <c r="AJ87" s="23">
        <v>882</v>
      </c>
      <c r="AK87" s="23">
        <v>967</v>
      </c>
      <c r="AL87" s="23">
        <f>787+2</f>
        <v>789</v>
      </c>
      <c r="AM87" s="22">
        <v>1287</v>
      </c>
      <c r="AN87" s="23">
        <v>1046</v>
      </c>
      <c r="AO87" s="23">
        <v>753</v>
      </c>
      <c r="AP87" s="23">
        <v>652</v>
      </c>
      <c r="AQ87" s="22">
        <v>1059</v>
      </c>
      <c r="AR87" s="23">
        <v>780</v>
      </c>
      <c r="AS87" s="23">
        <v>715</v>
      </c>
      <c r="AT87" s="23">
        <v>713</v>
      </c>
      <c r="AU87" s="22">
        <v>1149</v>
      </c>
      <c r="AV87" s="24">
        <v>1194</v>
      </c>
      <c r="AW87" s="24">
        <v>969</v>
      </c>
      <c r="AX87" s="24">
        <v>897</v>
      </c>
      <c r="AY87" s="25">
        <v>1153</v>
      </c>
      <c r="AZ87" s="24">
        <v>1042</v>
      </c>
      <c r="BA87" s="26">
        <v>1033</v>
      </c>
      <c r="BB87" s="24">
        <v>911</v>
      </c>
      <c r="BC87" s="25">
        <v>1150</v>
      </c>
      <c r="BD87" s="24">
        <v>1180</v>
      </c>
      <c r="BE87" s="24">
        <v>1156</v>
      </c>
      <c r="BF87" s="27"/>
      <c r="BG87" s="28"/>
      <c r="BH87" s="27"/>
      <c r="BI87" s="27"/>
      <c r="BJ87" s="27"/>
      <c r="BK87" s="23"/>
      <c r="BL87" s="29">
        <f t="shared" si="326"/>
        <v>3738</v>
      </c>
      <c r="BM87" s="23">
        <f t="shared" si="327"/>
        <v>3267</v>
      </c>
      <c r="BN87" s="23">
        <f t="shared" si="328"/>
        <v>4209</v>
      </c>
      <c r="BO87" s="23">
        <f t="shared" si="329"/>
        <v>4139</v>
      </c>
      <c r="BP87" s="23">
        <f t="shared" si="330"/>
        <v>3486</v>
      </c>
      <c r="BQ87" s="23"/>
      <c r="BR87" s="23">
        <f t="shared" si="331"/>
        <v>4125</v>
      </c>
      <c r="BS87" s="30">
        <f t="shared" si="332"/>
        <v>4397</v>
      </c>
      <c r="BT87" s="31">
        <f t="shared" si="333"/>
        <v>934.5</v>
      </c>
      <c r="BU87" s="31">
        <f t="shared" si="334"/>
        <v>816.75</v>
      </c>
      <c r="BV87" s="31">
        <f t="shared" si="335"/>
        <v>1052.25</v>
      </c>
      <c r="BW87" s="31">
        <f t="shared" si="336"/>
        <v>1034.75</v>
      </c>
      <c r="BX87" s="31">
        <f t="shared" si="337"/>
        <v>1162</v>
      </c>
      <c r="BY87" s="32">
        <f t="shared" si="338"/>
        <v>992.5</v>
      </c>
      <c r="BZ87" s="33"/>
      <c r="CA87" s="34">
        <f t="shared" si="339"/>
        <v>-2.033898305084747E-2</v>
      </c>
      <c r="CB87" s="34">
        <f t="shared" si="340"/>
        <v>0.11907066795740562</v>
      </c>
      <c r="CC87" s="34">
        <f t="shared" si="341"/>
        <v>0.16473551637279593</v>
      </c>
      <c r="CD87" s="34">
        <f t="shared" si="342"/>
        <v>6.5939393939393964E-2</v>
      </c>
      <c r="CE87" s="33"/>
      <c r="CF87" s="34">
        <f t="shared" si="343"/>
        <v>0.17078085642317387</v>
      </c>
      <c r="CG87" s="33"/>
      <c r="CH87" s="34">
        <f t="shared" si="344"/>
        <v>-0.1260032102728732</v>
      </c>
      <c r="CI87" s="34">
        <f t="shared" si="344"/>
        <v>0.28833792470156117</v>
      </c>
      <c r="CJ87" s="34">
        <f t="shared" si="344"/>
        <v>-1.6631028747921106E-2</v>
      </c>
      <c r="CK87" s="34">
        <f t="shared" si="344"/>
        <v>-0.15776757670935004</v>
      </c>
    </row>
    <row r="88" spans="2:89" s="8" customFormat="1">
      <c r="B88" s="8" t="s">
        <v>69</v>
      </c>
      <c r="C88" s="76">
        <f t="shared" si="345"/>
        <v>3074</v>
      </c>
      <c r="D88" s="76">
        <f t="shared" si="346"/>
        <v>3892</v>
      </c>
      <c r="E88" s="76">
        <f t="shared" si="347"/>
        <v>4600.6666666666661</v>
      </c>
      <c r="F88" s="76">
        <f t="shared" si="348"/>
        <v>1344</v>
      </c>
      <c r="G88" s="76">
        <f t="shared" si="349"/>
        <v>5583</v>
      </c>
      <c r="H88" s="76">
        <f t="shared" si="350"/>
        <v>3708</v>
      </c>
      <c r="I88" s="76">
        <f t="shared" si="351"/>
        <v>2403</v>
      </c>
      <c r="J88" s="76">
        <f t="shared" si="352"/>
        <v>2464</v>
      </c>
      <c r="K88" s="76">
        <f t="shared" si="353"/>
        <v>2865</v>
      </c>
      <c r="L88" s="76">
        <f t="shared" si="354"/>
        <v>2774</v>
      </c>
      <c r="M88" s="76">
        <f t="shared" si="355"/>
        <v>2382</v>
      </c>
      <c r="O88" s="22">
        <v>707</v>
      </c>
      <c r="P88" s="23">
        <v>728</v>
      </c>
      <c r="Q88" s="23">
        <v>872</v>
      </c>
      <c r="R88" s="23">
        <v>767</v>
      </c>
      <c r="S88" s="22">
        <v>1179</v>
      </c>
      <c r="T88" s="23">
        <v>945</v>
      </c>
      <c r="U88" s="23">
        <v>868</v>
      </c>
      <c r="V88" s="23">
        <v>900</v>
      </c>
      <c r="W88" s="22">
        <v>1483</v>
      </c>
      <c r="X88" s="23">
        <v>1582</v>
      </c>
      <c r="Y88" s="23">
        <v>968.33333333333326</v>
      </c>
      <c r="Z88" s="23">
        <v>567.33333333333303</v>
      </c>
      <c r="AA88" s="22">
        <v>552.66666666666697</v>
      </c>
      <c r="AB88" s="23">
        <v>1474</v>
      </c>
      <c r="AC88" s="23">
        <v>-32.666666666667027</v>
      </c>
      <c r="AD88" s="23">
        <v>-650</v>
      </c>
      <c r="AE88" s="22">
        <v>1525</v>
      </c>
      <c r="AF88" s="23">
        <v>1792</v>
      </c>
      <c r="AG88" s="23">
        <v>1324</v>
      </c>
      <c r="AH88" s="23">
        <v>942</v>
      </c>
      <c r="AI88" s="22">
        <v>1218</v>
      </c>
      <c r="AJ88" s="23">
        <v>620</v>
      </c>
      <c r="AK88" s="23">
        <v>1062</v>
      </c>
      <c r="AL88" s="23">
        <v>808</v>
      </c>
      <c r="AM88" s="22">
        <v>1104</v>
      </c>
      <c r="AN88" s="23">
        <v>776</v>
      </c>
      <c r="AO88" s="23">
        <v>290</v>
      </c>
      <c r="AP88" s="23">
        <v>233</v>
      </c>
      <c r="AQ88" s="22">
        <v>916</v>
      </c>
      <c r="AR88" s="23">
        <v>561</v>
      </c>
      <c r="AS88" s="23">
        <v>522</v>
      </c>
      <c r="AT88" s="23">
        <v>465</v>
      </c>
      <c r="AU88" s="22">
        <v>826</v>
      </c>
      <c r="AV88" s="24">
        <v>885</v>
      </c>
      <c r="AW88" s="24">
        <v>670</v>
      </c>
      <c r="AX88" s="24">
        <v>484</v>
      </c>
      <c r="AY88" s="25">
        <v>882</v>
      </c>
      <c r="AZ88" s="24">
        <v>659</v>
      </c>
      <c r="BA88" s="24">
        <v>763</v>
      </c>
      <c r="BB88" s="24">
        <v>470</v>
      </c>
      <c r="BC88" s="25">
        <v>873</v>
      </c>
      <c r="BD88" s="24">
        <v>653</v>
      </c>
      <c r="BE88" s="24">
        <f>996-140</f>
        <v>856</v>
      </c>
      <c r="BF88" s="27"/>
      <c r="BG88" s="28"/>
      <c r="BH88" s="27"/>
      <c r="BI88" s="27"/>
      <c r="BJ88" s="27"/>
      <c r="BK88" s="23"/>
      <c r="BL88" s="29">
        <f t="shared" si="326"/>
        <v>2403</v>
      </c>
      <c r="BM88" s="23">
        <f t="shared" si="327"/>
        <v>2464</v>
      </c>
      <c r="BN88" s="23">
        <f t="shared" si="328"/>
        <v>2865</v>
      </c>
      <c r="BO88" s="23">
        <f t="shared" si="329"/>
        <v>2774</v>
      </c>
      <c r="BP88" s="23">
        <f t="shared" si="330"/>
        <v>2382</v>
      </c>
      <c r="BQ88" s="23"/>
      <c r="BR88" s="23">
        <f t="shared" si="331"/>
        <v>2788</v>
      </c>
      <c r="BS88" s="30">
        <f t="shared" si="332"/>
        <v>2852</v>
      </c>
      <c r="BT88" s="31">
        <f t="shared" si="333"/>
        <v>600.75</v>
      </c>
      <c r="BU88" s="31">
        <f t="shared" si="334"/>
        <v>616</v>
      </c>
      <c r="BV88" s="31">
        <f t="shared" si="335"/>
        <v>716.25</v>
      </c>
      <c r="BW88" s="31">
        <f t="shared" si="336"/>
        <v>693.5</v>
      </c>
      <c r="BX88" s="31">
        <f t="shared" si="337"/>
        <v>794</v>
      </c>
      <c r="BY88" s="32">
        <f t="shared" si="338"/>
        <v>715.4545454545455</v>
      </c>
      <c r="BZ88" s="33"/>
      <c r="CA88" s="34">
        <f t="shared" si="339"/>
        <v>0.31087289433384391</v>
      </c>
      <c r="CB88" s="34">
        <f t="shared" si="340"/>
        <v>0.1218872870249017</v>
      </c>
      <c r="CC88" s="34">
        <f t="shared" si="341"/>
        <v>0.19644218551461234</v>
      </c>
      <c r="CD88" s="34">
        <f t="shared" si="342"/>
        <v>2.2955523672883782E-2</v>
      </c>
      <c r="CE88" s="33"/>
      <c r="CF88" s="34">
        <f t="shared" si="343"/>
        <v>0.10978398983481563</v>
      </c>
      <c r="CG88" s="33"/>
      <c r="CH88" s="34">
        <f t="shared" si="344"/>
        <v>2.5384935497295036E-2</v>
      </c>
      <c r="CI88" s="34">
        <f t="shared" si="344"/>
        <v>0.16274350649350655</v>
      </c>
      <c r="CJ88" s="34">
        <f t="shared" si="344"/>
        <v>-3.1762652705061067E-2</v>
      </c>
      <c r="CK88" s="34">
        <f t="shared" si="344"/>
        <v>-0.14131218457101657</v>
      </c>
    </row>
    <row r="89" spans="2:89" s="8" customFormat="1">
      <c r="B89" s="8" t="s">
        <v>70</v>
      </c>
      <c r="C89" s="76">
        <f t="shared" si="345"/>
        <v>3208.6030000000001</v>
      </c>
      <c r="D89" s="76">
        <f t="shared" si="346"/>
        <v>5181.335</v>
      </c>
      <c r="E89" s="76">
        <f t="shared" si="347"/>
        <v>5788.3320000000003</v>
      </c>
      <c r="F89" s="76">
        <f t="shared" si="348"/>
        <v>3911</v>
      </c>
      <c r="G89" s="76">
        <f t="shared" si="349"/>
        <v>5171</v>
      </c>
      <c r="H89" s="76">
        <f t="shared" si="350"/>
        <v>4592</v>
      </c>
      <c r="I89" s="76">
        <f t="shared" si="351"/>
        <v>4484</v>
      </c>
      <c r="J89" s="76">
        <f t="shared" si="352"/>
        <v>4406</v>
      </c>
      <c r="K89" s="76">
        <f t="shared" si="353"/>
        <v>4768</v>
      </c>
      <c r="L89" s="76">
        <f t="shared" si="354"/>
        <v>4987</v>
      </c>
      <c r="M89" s="76">
        <f t="shared" si="355"/>
        <v>4630</v>
      </c>
      <c r="O89" s="22">
        <v>868.94</v>
      </c>
      <c r="P89" s="23">
        <v>462.45299999999997</v>
      </c>
      <c r="Q89" s="23">
        <v>1046.6199999999999</v>
      </c>
      <c r="R89" s="23">
        <v>830.58999999999992</v>
      </c>
      <c r="S89" s="22">
        <v>1703.4940000000001</v>
      </c>
      <c r="T89" s="23">
        <v>1088.4960000000001</v>
      </c>
      <c r="U89" s="23">
        <v>1083.0059999999999</v>
      </c>
      <c r="V89" s="23">
        <v>1306.3389999999999</v>
      </c>
      <c r="W89" s="22">
        <v>2051.6530000000002</v>
      </c>
      <c r="X89" s="23">
        <v>1791.6849999999999</v>
      </c>
      <c r="Y89" s="23">
        <f>1255.994-150</f>
        <v>1105.9939999999999</v>
      </c>
      <c r="Z89" s="23">
        <f>962-123</f>
        <v>839</v>
      </c>
      <c r="AA89" s="22">
        <f>1787-287</f>
        <v>1500</v>
      </c>
      <c r="AB89" s="23">
        <f>1079-149</f>
        <v>930</v>
      </c>
      <c r="AC89" s="23">
        <f>1650-429</f>
        <v>1221</v>
      </c>
      <c r="AD89" s="23">
        <f>-94--354</f>
        <v>260</v>
      </c>
      <c r="AE89" s="22">
        <v>1557</v>
      </c>
      <c r="AF89" s="23">
        <v>1034</v>
      </c>
      <c r="AG89" s="23">
        <v>1284</v>
      </c>
      <c r="AH89" s="23">
        <v>1296</v>
      </c>
      <c r="AI89" s="22">
        <f>1462-39</f>
        <v>1423</v>
      </c>
      <c r="AJ89" s="23">
        <f>1038-191</f>
        <v>847</v>
      </c>
      <c r="AK89" s="23">
        <f>1135+96</f>
        <v>1231</v>
      </c>
      <c r="AL89" s="23">
        <f>1128-37</f>
        <v>1091</v>
      </c>
      <c r="AM89" s="22">
        <f>1406+80</f>
        <v>1486</v>
      </c>
      <c r="AN89" s="23">
        <f>1223-78</f>
        <v>1145</v>
      </c>
      <c r="AO89" s="23">
        <f>1424-377</f>
        <v>1047</v>
      </c>
      <c r="AP89" s="23">
        <f>779+27</f>
        <v>806</v>
      </c>
      <c r="AQ89" s="22">
        <f>1294+130</f>
        <v>1424</v>
      </c>
      <c r="AR89" s="23">
        <f>1243-200</f>
        <v>1043</v>
      </c>
      <c r="AS89" s="23">
        <f>1073-29</f>
        <v>1044</v>
      </c>
      <c r="AT89" s="23">
        <v>895</v>
      </c>
      <c r="AU89" s="22">
        <v>1340</v>
      </c>
      <c r="AV89" s="24">
        <v>1296</v>
      </c>
      <c r="AW89" s="24">
        <v>1249</v>
      </c>
      <c r="AX89" s="24">
        <v>883</v>
      </c>
      <c r="AY89" s="25">
        <v>1315</v>
      </c>
      <c r="AZ89" s="24">
        <v>1243</v>
      </c>
      <c r="BA89" s="24">
        <v>1286</v>
      </c>
      <c r="BB89" s="24">
        <v>1143</v>
      </c>
      <c r="BC89" s="25">
        <v>1651</v>
      </c>
      <c r="BD89" s="24">
        <v>1576</v>
      </c>
      <c r="BE89" s="24">
        <v>1403</v>
      </c>
      <c r="BF89" s="27"/>
      <c r="BG89" s="28"/>
      <c r="BH89" s="27"/>
      <c r="BI89" s="27"/>
      <c r="BJ89" s="27"/>
      <c r="BK89" s="23"/>
      <c r="BL89" s="29">
        <f t="shared" si="326"/>
        <v>4484</v>
      </c>
      <c r="BM89" s="23">
        <f t="shared" si="327"/>
        <v>4406</v>
      </c>
      <c r="BN89" s="23">
        <f t="shared" si="328"/>
        <v>4768</v>
      </c>
      <c r="BO89" s="23">
        <f t="shared" si="329"/>
        <v>4987</v>
      </c>
      <c r="BP89" s="23">
        <f t="shared" si="330"/>
        <v>4630</v>
      </c>
      <c r="BQ89" s="23"/>
      <c r="BR89" s="23">
        <f t="shared" si="331"/>
        <v>4727</v>
      </c>
      <c r="BS89" s="30">
        <f t="shared" si="332"/>
        <v>5773</v>
      </c>
      <c r="BT89" s="31">
        <f t="shared" si="333"/>
        <v>1121</v>
      </c>
      <c r="BU89" s="31">
        <f t="shared" si="334"/>
        <v>1101.5</v>
      </c>
      <c r="BV89" s="31">
        <f t="shared" si="335"/>
        <v>1192</v>
      </c>
      <c r="BW89" s="31">
        <f t="shared" si="336"/>
        <v>1246.75</v>
      </c>
      <c r="BX89" s="31">
        <f t="shared" si="337"/>
        <v>1543.3333333333333</v>
      </c>
      <c r="BY89" s="32">
        <f t="shared" si="338"/>
        <v>1202.909090909091</v>
      </c>
      <c r="BZ89" s="33"/>
      <c r="CA89" s="34">
        <f t="shared" si="339"/>
        <v>-0.10977157360406087</v>
      </c>
      <c r="CB89" s="34">
        <f t="shared" si="340"/>
        <v>9.0979782270606435E-2</v>
      </c>
      <c r="CC89" s="34">
        <f t="shared" si="341"/>
        <v>0.1663391777509069</v>
      </c>
      <c r="CD89" s="34">
        <f t="shared" si="342"/>
        <v>0.22128199703829066</v>
      </c>
      <c r="CE89" s="33"/>
      <c r="CF89" s="34">
        <f t="shared" si="343"/>
        <v>0.28300080612656164</v>
      </c>
      <c r="CG89" s="33"/>
      <c r="CH89" s="34">
        <f t="shared" si="344"/>
        <v>-1.7395182872435355E-2</v>
      </c>
      <c r="CI89" s="34">
        <f t="shared" si="344"/>
        <v>8.2160689968225231E-2</v>
      </c>
      <c r="CJ89" s="34">
        <f t="shared" si="344"/>
        <v>4.593120805369133E-2</v>
      </c>
      <c r="CK89" s="34">
        <f t="shared" si="344"/>
        <v>-7.1586123922197764E-2</v>
      </c>
    </row>
    <row r="90" spans="2:89" s="8" customFormat="1">
      <c r="B90" s="36" t="s">
        <v>76</v>
      </c>
      <c r="C90" s="76">
        <f t="shared" si="345"/>
        <v>4509.9206000000004</v>
      </c>
      <c r="D90" s="76">
        <f t="shared" si="346"/>
        <v>6414.4670000000006</v>
      </c>
      <c r="E90" s="76">
        <f t="shared" si="347"/>
        <v>7906.4664000000002</v>
      </c>
      <c r="F90" s="76">
        <f t="shared" si="348"/>
        <v>5773.5333333333338</v>
      </c>
      <c r="G90" s="76">
        <f t="shared" si="349"/>
        <v>6270.3333333333339</v>
      </c>
      <c r="H90" s="76">
        <f t="shared" si="350"/>
        <v>5092.6000000000004</v>
      </c>
      <c r="I90" s="76">
        <f t="shared" si="351"/>
        <v>4973.6000000000004</v>
      </c>
      <c r="J90" s="76">
        <f t="shared" si="352"/>
        <v>4796.2</v>
      </c>
      <c r="K90" s="76">
        <f t="shared" si="353"/>
        <v>5120.2000000000007</v>
      </c>
      <c r="L90" s="76">
        <f t="shared" si="354"/>
        <v>5077.7999999999993</v>
      </c>
      <c r="M90" s="76">
        <f t="shared" si="355"/>
        <v>4564.8</v>
      </c>
      <c r="N90" s="47"/>
      <c r="O90" s="37">
        <f t="shared" ref="O90:BE90" si="356">AVERAGE(O85:O89)</f>
        <v>1159.9880000000001</v>
      </c>
      <c r="P90" s="38">
        <f t="shared" si="356"/>
        <v>957.29059999999993</v>
      </c>
      <c r="Q90" s="38">
        <f t="shared" si="356"/>
        <v>1270.3240000000001</v>
      </c>
      <c r="R90" s="38">
        <f t="shared" si="356"/>
        <v>1122.318</v>
      </c>
      <c r="S90" s="37">
        <f t="shared" si="356"/>
        <v>1801.2988</v>
      </c>
      <c r="T90" s="38">
        <f t="shared" si="356"/>
        <v>1657.4991999999997</v>
      </c>
      <c r="U90" s="38">
        <f t="shared" si="356"/>
        <v>1374.2012</v>
      </c>
      <c r="V90" s="38">
        <f t="shared" si="356"/>
        <v>1581.4677999999999</v>
      </c>
      <c r="W90" s="37">
        <f t="shared" si="356"/>
        <v>2409.3306000000002</v>
      </c>
      <c r="X90" s="38">
        <f t="shared" si="356"/>
        <v>2166.7370000000001</v>
      </c>
      <c r="Y90" s="38">
        <f t="shared" si="356"/>
        <v>1723.2654666666665</v>
      </c>
      <c r="Z90" s="38">
        <f t="shared" si="356"/>
        <v>1607.1333333333332</v>
      </c>
      <c r="AA90" s="37">
        <f t="shared" si="356"/>
        <v>1810.1333333333337</v>
      </c>
      <c r="AB90" s="38">
        <f t="shared" si="356"/>
        <v>1871.2</v>
      </c>
      <c r="AC90" s="38">
        <f t="shared" si="356"/>
        <v>2737.333333333333</v>
      </c>
      <c r="AD90" s="38">
        <f t="shared" si="356"/>
        <v>-645.13333333333321</v>
      </c>
      <c r="AE90" s="37">
        <f t="shared" si="356"/>
        <v>1603.1333333333332</v>
      </c>
      <c r="AF90" s="38">
        <f t="shared" si="356"/>
        <v>1775.6</v>
      </c>
      <c r="AG90" s="38">
        <f t="shared" si="356"/>
        <v>1619</v>
      </c>
      <c r="AH90" s="38">
        <f t="shared" si="356"/>
        <v>1272.5999999999999</v>
      </c>
      <c r="AI90" s="37">
        <f t="shared" si="356"/>
        <v>1598.8</v>
      </c>
      <c r="AJ90" s="38">
        <f t="shared" si="356"/>
        <v>1034.2</v>
      </c>
      <c r="AK90" s="38">
        <f t="shared" si="356"/>
        <v>1279.8</v>
      </c>
      <c r="AL90" s="38">
        <f t="shared" si="356"/>
        <v>1179.8</v>
      </c>
      <c r="AM90" s="37">
        <f t="shared" si="356"/>
        <v>1585</v>
      </c>
      <c r="AN90" s="38">
        <f t="shared" si="356"/>
        <v>1330</v>
      </c>
      <c r="AO90" s="38">
        <f t="shared" si="356"/>
        <v>1122.4000000000001</v>
      </c>
      <c r="AP90" s="38">
        <f t="shared" si="356"/>
        <v>936.2</v>
      </c>
      <c r="AQ90" s="37">
        <f t="shared" si="356"/>
        <v>1542</v>
      </c>
      <c r="AR90" s="38">
        <f t="shared" si="356"/>
        <v>1065.2</v>
      </c>
      <c r="AS90" s="38">
        <f t="shared" si="356"/>
        <v>1122.8</v>
      </c>
      <c r="AT90" s="38">
        <f t="shared" si="356"/>
        <v>1066.2</v>
      </c>
      <c r="AU90" s="37">
        <f t="shared" si="356"/>
        <v>1373.2</v>
      </c>
      <c r="AV90" s="38">
        <f t="shared" si="356"/>
        <v>1400.8</v>
      </c>
      <c r="AW90" s="38">
        <f t="shared" si="356"/>
        <v>1247.8</v>
      </c>
      <c r="AX90" s="38">
        <f t="shared" si="356"/>
        <v>1098.4000000000001</v>
      </c>
      <c r="AY90" s="37">
        <f t="shared" si="356"/>
        <v>1330.2</v>
      </c>
      <c r="AZ90" s="38">
        <f t="shared" si="356"/>
        <v>1271.8</v>
      </c>
      <c r="BA90" s="39">
        <f t="shared" si="356"/>
        <v>1265.2</v>
      </c>
      <c r="BB90" s="38">
        <f t="shared" si="356"/>
        <v>1210.5999999999999</v>
      </c>
      <c r="BC90" s="37">
        <f t="shared" si="356"/>
        <v>1655.8</v>
      </c>
      <c r="BD90" s="38">
        <f t="shared" si="356"/>
        <v>1528.8</v>
      </c>
      <c r="BE90" s="38">
        <f t="shared" si="356"/>
        <v>1380.2</v>
      </c>
      <c r="BF90" s="38"/>
      <c r="BG90" s="37"/>
      <c r="BH90" s="38"/>
      <c r="BI90" s="38"/>
      <c r="BJ90" s="38"/>
      <c r="BK90" s="23"/>
      <c r="BL90" s="42">
        <f t="shared" si="326"/>
        <v>4973.6000000000004</v>
      </c>
      <c r="BM90" s="38">
        <f t="shared" si="327"/>
        <v>4796.2</v>
      </c>
      <c r="BN90" s="38">
        <f t="shared" si="328"/>
        <v>5120.2000000000007</v>
      </c>
      <c r="BO90" s="38">
        <f t="shared" si="329"/>
        <v>5077.7999999999993</v>
      </c>
      <c r="BP90" s="38">
        <f t="shared" si="330"/>
        <v>4564.8</v>
      </c>
      <c r="BQ90" s="23"/>
      <c r="BR90" s="38">
        <f t="shared" si="331"/>
        <v>4965.6000000000004</v>
      </c>
      <c r="BS90" s="43">
        <f t="shared" si="332"/>
        <v>5775.4</v>
      </c>
      <c r="BT90" s="44">
        <f t="shared" si="333"/>
        <v>1243.4000000000001</v>
      </c>
      <c r="BU90" s="44">
        <f t="shared" si="334"/>
        <v>1199.05</v>
      </c>
      <c r="BV90" s="44">
        <f t="shared" si="335"/>
        <v>1280.0500000000002</v>
      </c>
      <c r="BW90" s="44">
        <f t="shared" si="336"/>
        <v>1269.4499999999998</v>
      </c>
      <c r="BX90" s="44">
        <f t="shared" si="337"/>
        <v>1521.6000000000001</v>
      </c>
      <c r="BY90" s="45">
        <f t="shared" si="338"/>
        <v>1283.8636363636363</v>
      </c>
      <c r="BZ90" s="33"/>
      <c r="CA90" s="46">
        <f t="shared" si="339"/>
        <v>-9.7200418628989982E-2</v>
      </c>
      <c r="CB90" s="46">
        <f t="shared" si="340"/>
        <v>9.0894720202339574E-2</v>
      </c>
      <c r="CC90" s="46">
        <f t="shared" si="341"/>
        <v>7.5036289608780393E-2</v>
      </c>
      <c r="CD90" s="46">
        <f t="shared" si="342"/>
        <v>0.16308200418881902</v>
      </c>
      <c r="CE90" s="33"/>
      <c r="CF90" s="46">
        <f t="shared" si="343"/>
        <v>0.18517259691980903</v>
      </c>
      <c r="CG90" s="33"/>
      <c r="CH90" s="46">
        <f t="shared" si="344"/>
        <v>-3.5668328775937064E-2</v>
      </c>
      <c r="CI90" s="46">
        <f t="shared" si="344"/>
        <v>6.7553479838205366E-2</v>
      </c>
      <c r="CJ90" s="46">
        <f t="shared" si="344"/>
        <v>-8.2809265263078524E-3</v>
      </c>
      <c r="CK90" s="46">
        <f t="shared" si="344"/>
        <v>-0.10102800425381053</v>
      </c>
    </row>
    <row r="91" spans="2:89" s="8" customFormat="1">
      <c r="O91" s="56"/>
      <c r="P91" s="57"/>
      <c r="Q91" s="57"/>
      <c r="R91" s="57"/>
      <c r="S91" s="56"/>
      <c r="T91" s="57"/>
      <c r="U91" s="57"/>
      <c r="V91" s="57"/>
      <c r="W91" s="56"/>
      <c r="X91" s="57"/>
      <c r="Y91" s="57"/>
      <c r="Z91" s="57"/>
      <c r="AA91" s="56"/>
      <c r="AB91" s="57"/>
      <c r="AC91" s="57"/>
      <c r="AD91" s="57"/>
      <c r="AE91" s="56"/>
      <c r="AF91" s="57"/>
      <c r="AG91" s="57"/>
      <c r="AH91" s="57"/>
      <c r="AI91" s="56"/>
      <c r="AJ91" s="57"/>
      <c r="AK91" s="57"/>
      <c r="AL91" s="57"/>
      <c r="AM91" s="56"/>
      <c r="AN91" s="57"/>
      <c r="AO91" s="57"/>
      <c r="AP91" s="57"/>
      <c r="AQ91" s="56"/>
      <c r="AR91" s="57"/>
      <c r="AS91" s="57"/>
      <c r="AT91" s="57"/>
      <c r="AU91" s="56"/>
      <c r="AV91" s="57"/>
      <c r="AW91" s="57"/>
      <c r="AX91" s="57"/>
      <c r="AY91" s="56"/>
      <c r="AZ91" s="57"/>
      <c r="BA91" s="58"/>
      <c r="BB91" s="57"/>
      <c r="BC91" s="56"/>
      <c r="BD91" s="57"/>
      <c r="BE91" s="57"/>
      <c r="BF91" s="57"/>
      <c r="BG91" s="56"/>
      <c r="BH91" s="57"/>
      <c r="BI91" s="57"/>
      <c r="BJ91" s="57"/>
      <c r="BK91" s="57"/>
      <c r="BL91" s="59"/>
      <c r="BM91" s="57"/>
      <c r="BN91" s="23"/>
      <c r="BO91" s="23"/>
      <c r="BP91" s="23"/>
      <c r="BQ91" s="57"/>
      <c r="BR91" s="57"/>
      <c r="BS91" s="60"/>
      <c r="BT91" s="33"/>
      <c r="BU91" s="33"/>
      <c r="BV91" s="33"/>
      <c r="BW91" s="33"/>
      <c r="BX91" s="33"/>
      <c r="BY91" s="61"/>
      <c r="BZ91" s="33"/>
      <c r="CA91" s="34"/>
      <c r="CB91" s="34"/>
      <c r="CC91" s="34"/>
      <c r="CD91" s="34"/>
      <c r="CE91" s="33"/>
      <c r="CF91" s="34"/>
      <c r="CG91" s="33"/>
      <c r="CH91" s="34"/>
      <c r="CI91" s="34"/>
      <c r="CJ91" s="34"/>
      <c r="CK91" s="34"/>
    </row>
    <row r="92" spans="2:89" s="8" customFormat="1" hidden="1" outlineLevel="1">
      <c r="B92" s="8" t="s">
        <v>71</v>
      </c>
      <c r="O92" s="22"/>
      <c r="P92" s="23"/>
      <c r="Q92" s="23"/>
      <c r="R92" s="23"/>
      <c r="S92" s="22"/>
      <c r="T92" s="23"/>
      <c r="U92" s="23"/>
      <c r="V92" s="23"/>
      <c r="W92" s="22"/>
      <c r="X92" s="23"/>
      <c r="Y92" s="23"/>
      <c r="Z92" s="23"/>
      <c r="AA92" s="22"/>
      <c r="AB92" s="23"/>
      <c r="AC92" s="23"/>
      <c r="AD92" s="23"/>
      <c r="AE92" s="22">
        <f>538*1.436728125</f>
        <v>772.95973125</v>
      </c>
      <c r="AF92" s="23">
        <f>748*1.55231076923077</f>
        <v>1161.128455384616</v>
      </c>
      <c r="AG92" s="23">
        <f>545*1.64085454545455</f>
        <v>894.26572727272981</v>
      </c>
      <c r="AH92" s="23">
        <f>334*1.63377878787879</f>
        <v>545.68211515151586</v>
      </c>
      <c r="AI92" s="22">
        <v>768.98140000000001</v>
      </c>
      <c r="AJ92" s="23">
        <v>840.22119999999995</v>
      </c>
      <c r="AK92" s="23">
        <v>556.70129999999995</v>
      </c>
      <c r="AL92" s="23">
        <v>987.4375</v>
      </c>
      <c r="AM92" s="22">
        <v>873.63499999999999</v>
      </c>
      <c r="AN92" s="23">
        <v>918.47820000000002</v>
      </c>
      <c r="AO92" s="23">
        <v>544.11239999999998</v>
      </c>
      <c r="AP92" s="23">
        <v>479.94800000000004</v>
      </c>
      <c r="AQ92" s="22">
        <v>864.54500000000007</v>
      </c>
      <c r="AR92" s="23">
        <v>670</v>
      </c>
      <c r="AS92" s="23">
        <f>490*1.574103488</f>
        <v>771.31070911999996</v>
      </c>
      <c r="AT92" s="24">
        <f>419*1.6062</f>
        <v>672.99779999999998</v>
      </c>
      <c r="AU92" s="25">
        <f>602*1.5525</f>
        <v>934.60500000000002</v>
      </c>
      <c r="AV92" s="24">
        <f>750*1.5355</f>
        <v>1151.625</v>
      </c>
      <c r="AW92" s="24">
        <f>524*1.5505</f>
        <v>812.46199999999999</v>
      </c>
      <c r="AX92" s="24">
        <f>421*1.618899</f>
        <v>681.55647900000008</v>
      </c>
      <c r="AY92" s="25">
        <f>591*1.65512698412698</f>
        <v>978.18004761904513</v>
      </c>
      <c r="AZ92" s="24">
        <f>629*1.68338</f>
        <v>1058.84602</v>
      </c>
      <c r="BA92" s="26">
        <f>395*1.6215</f>
        <v>640.49249999999995</v>
      </c>
      <c r="BB92" s="24">
        <f>431*1.58331307692308</f>
        <v>682.40793615384757</v>
      </c>
      <c r="BC92" s="25">
        <f>619*1.51386984126984</f>
        <v>937.08543174603096</v>
      </c>
      <c r="BD92" s="24">
        <f>616*1.53311904761905</f>
        <v>944.40133333333472</v>
      </c>
      <c r="BE92" s="24">
        <f>441*1.54871287878788</f>
        <v>682.98237954545516</v>
      </c>
      <c r="BF92" s="24"/>
      <c r="BG92" s="25"/>
      <c r="BH92" s="24"/>
      <c r="BI92" s="24"/>
      <c r="BJ92" s="24"/>
      <c r="BK92" s="24"/>
      <c r="BL92" s="29">
        <f t="shared" ref="BL92:BL97" si="357">SUM(AM92:AP92)</f>
        <v>2816.1735999999996</v>
      </c>
      <c r="BM92" s="23">
        <f t="shared" ref="BM92:BM97" si="358">SUM(AQ92:AT92)</f>
        <v>2978.8535091200001</v>
      </c>
      <c r="BN92" s="23">
        <f t="shared" ref="BN92:BN97" si="359">SUM(AU92:AX92)</f>
        <v>3580.2484789999999</v>
      </c>
      <c r="BO92" s="23">
        <f t="shared" ref="BO92:BO97" si="360">SUM(AY92:BB92)</f>
        <v>3359.9265037728924</v>
      </c>
      <c r="BP92" s="23">
        <f t="shared" ref="BP92:BP97" si="361">SUM(BC92:BF92)</f>
        <v>2564.4691446248207</v>
      </c>
      <c r="BQ92" s="23"/>
      <c r="BR92" s="23">
        <f t="shared" ref="BR92:BR97" si="362">SUM(AX92:BA92)</f>
        <v>3359.0750466190452</v>
      </c>
      <c r="BS92" s="30">
        <f t="shared" ref="BS92:BS97" si="363">SUM(BB92:BE92)</f>
        <v>3246.8770807786686</v>
      </c>
      <c r="BT92" s="31">
        <f t="shared" ref="BT92:BT97" si="364">AVERAGE(AM92:AP92)</f>
        <v>704.04339999999991</v>
      </c>
      <c r="BU92" s="31">
        <f t="shared" ref="BU92:BU97" si="365">AVERAGE(AQ92:AT92)</f>
        <v>744.71337728000003</v>
      </c>
      <c r="BV92" s="31">
        <f t="shared" ref="BV92:BV97" si="366">AVERAGE(AU92:AX92)</f>
        <v>895.06211974999997</v>
      </c>
      <c r="BW92" s="31">
        <f t="shared" ref="BW92:BW97" si="367">AVERAGE(AY92:BB92)</f>
        <v>839.98162594322309</v>
      </c>
      <c r="BX92" s="31">
        <f t="shared" ref="BX92:BX97" si="368">AVERAGE(BC92:BF92)</f>
        <v>854.82304820827358</v>
      </c>
      <c r="BY92" s="32">
        <f t="shared" ref="BY92:BY97" si="369">AVERAGE(AI92:BD92)</f>
        <v>807.72864804419362</v>
      </c>
      <c r="BZ92" s="33"/>
      <c r="CA92" s="34">
        <f t="shared" ref="CA92:CA97" si="370">BE92/BD92-1</f>
        <v>-0.27680917482949963</v>
      </c>
      <c r="CB92" s="34">
        <f t="shared" ref="CB92:CB97" si="371">BE92/BA92-1</f>
        <v>6.6339386558710967E-2</v>
      </c>
      <c r="CC92" s="34">
        <f t="shared" ref="CC92:CC97" si="372">BE92/BY92-1</f>
        <v>-0.1544408122712928</v>
      </c>
      <c r="CD92" s="34">
        <f t="shared" ref="CD92:CD97" si="373">BS92/BR92-1</f>
        <v>-3.3401446613497199E-2</v>
      </c>
      <c r="CE92" s="33"/>
      <c r="CF92" s="34">
        <f t="shared" ref="CF92:CF97" si="374">BX92/BY92-1</f>
        <v>5.8304729290105994E-2</v>
      </c>
      <c r="CG92" s="33"/>
      <c r="CH92" s="34">
        <f t="shared" ref="CH92:CK97" si="375">BM92/BL92-1</f>
        <v>5.7766292930237162E-2</v>
      </c>
      <c r="CI92" s="34">
        <f t="shared" si="375"/>
        <v>0.20188806466608056</v>
      </c>
      <c r="CJ92" s="34">
        <f t="shared" si="375"/>
        <v>-6.1538179966951767E-2</v>
      </c>
      <c r="CK92" s="34">
        <f t="shared" si="375"/>
        <v>-0.23674844025750119</v>
      </c>
    </row>
    <row r="93" spans="2:89" s="8" customFormat="1" hidden="1" outlineLevel="1">
      <c r="B93" s="8" t="s">
        <v>73</v>
      </c>
      <c r="O93" s="22">
        <f>1066/1.18179093006696</f>
        <v>902.02079985467537</v>
      </c>
      <c r="P93" s="23">
        <f>912/1.2262072165063</f>
        <v>743.75683630248341</v>
      </c>
      <c r="Q93" s="23">
        <f>1341/1.2731750919634</f>
        <v>1053.2722549040802</v>
      </c>
      <c r="R93" s="23">
        <f>1021/1.30106828551284</f>
        <v>784.73974914971825</v>
      </c>
      <c r="S93" s="22">
        <f>2077/1.29571400088145</f>
        <v>1602.9771991250041</v>
      </c>
      <c r="T93" s="23">
        <f>1146/1.24200401859975</f>
        <v>922.70232852548565</v>
      </c>
      <c r="U93" s="23">
        <f>1062/1.23727922517284</f>
        <v>858.33494848476539</v>
      </c>
      <c r="V93" s="23">
        <f>1596/1.23509407876847</f>
        <v>1292.2092555017302</v>
      </c>
      <c r="W93" s="22">
        <f>2173/1.23273802977337</f>
        <v>1762.7427300182264</v>
      </c>
      <c r="X93" s="23">
        <f>2560/1.22240293114084</f>
        <v>2094.235816017565</v>
      </c>
      <c r="Y93" s="23">
        <f>(991-207.333333333333)/1.19889112487371</f>
        <v>653.65957792807717</v>
      </c>
      <c r="Z93" s="23">
        <f>2048/1.14587907122353</f>
        <v>1787.2741124534341</v>
      </c>
      <c r="AA93" s="22">
        <f>(1360-408.666666666667)/1.06675970047235</f>
        <v>891.79721816646497</v>
      </c>
      <c r="AB93" s="23">
        <f>(2206--50)/1.03106342716605</f>
        <v>2188.0322204820841</v>
      </c>
      <c r="AC93" s="23">
        <f>(136-188)/1.07158969959517</f>
        <v>-48.526035682915577</v>
      </c>
      <c r="AD93" s="23">
        <f>(-2231--633.333333333333)/1.15387496023516</f>
        <v>-1384.6098769151401</v>
      </c>
      <c r="AE93" s="22">
        <f>(2323-121.666666666667)/1.14636850650843</f>
        <v>1920.2667561394189</v>
      </c>
      <c r="AF93" s="23">
        <f>(2209--89.6666666666667)/1.11054400750259</f>
        <v>2069.856440751003</v>
      </c>
      <c r="AG93" s="23">
        <f>(1835--83.6666666666667)/1.06193206768699</f>
        <v>1806.7696842847427</v>
      </c>
      <c r="AH93" s="23">
        <f>(1102--81)/1.02143151890403</f>
        <v>1158.1784760953226</v>
      </c>
      <c r="AI93" s="22">
        <v>1626.8616</v>
      </c>
      <c r="AJ93" s="23">
        <v>1504.1610000000001</v>
      </c>
      <c r="AK93" s="23">
        <v>1168.2412000000002</v>
      </c>
      <c r="AL93" s="23">
        <v>1419.8668000000002</v>
      </c>
      <c r="AM93" s="22">
        <v>1714</v>
      </c>
      <c r="AN93" s="23">
        <v>1440</v>
      </c>
      <c r="AO93" s="23">
        <v>763</v>
      </c>
      <c r="AP93" s="23">
        <v>816</v>
      </c>
      <c r="AQ93" s="22">
        <v>1532</v>
      </c>
      <c r="AR93" s="23">
        <v>1228</v>
      </c>
      <c r="AS93" s="23">
        <v>1065.9638029445468</v>
      </c>
      <c r="AT93" s="24">
        <f>910/0.9311</f>
        <v>977.33863172591555</v>
      </c>
      <c r="AU93" s="25">
        <f>1297/0.9304</f>
        <v>1394.02407566638</v>
      </c>
      <c r="AV93" s="24">
        <f>1338/0.9429</f>
        <v>1419.0264078905504</v>
      </c>
      <c r="AW93" s="24">
        <f>1065/0.932202</f>
        <v>1142.4562487529527</v>
      </c>
      <c r="AX93" s="24">
        <f>1067/0.903041</f>
        <v>1181.5631848387836</v>
      </c>
      <c r="AY93" s="25">
        <f>1201/0.892953968253968</f>
        <v>1344.9741450260508</v>
      </c>
      <c r="AZ93" s="24">
        <f>1134/0.8890421875</f>
        <v>1275.5300208967867</v>
      </c>
      <c r="BA93" s="26">
        <f>1071/0.955109837631328</f>
        <v>1121.3369999999995</v>
      </c>
      <c r="BB93" s="24">
        <f>1185/0.964156153846154</f>
        <v>1229.0540233268946</v>
      </c>
      <c r="BC93" s="25">
        <f>1376/0.953146825396825</f>
        <v>1443.6390735783314</v>
      </c>
      <c r="BD93" s="24">
        <f>1322/0.941266666666666</f>
        <v>1404.4904030030466</v>
      </c>
      <c r="BE93" s="24">
        <f>1201/0.9862</f>
        <v>1217.8057189211113</v>
      </c>
      <c r="BF93" s="24"/>
      <c r="BG93" s="25"/>
      <c r="BH93" s="24"/>
      <c r="BI93" s="24"/>
      <c r="BJ93" s="24"/>
      <c r="BK93" s="24"/>
      <c r="BL93" s="29">
        <f t="shared" si="357"/>
        <v>4733</v>
      </c>
      <c r="BM93" s="23">
        <f t="shared" si="358"/>
        <v>4803.3024346704624</v>
      </c>
      <c r="BN93" s="23">
        <f t="shared" si="359"/>
        <v>5137.0699171486667</v>
      </c>
      <c r="BO93" s="23">
        <f t="shared" si="360"/>
        <v>4970.8951892497316</v>
      </c>
      <c r="BP93" s="23">
        <f t="shared" si="361"/>
        <v>4065.9351955024895</v>
      </c>
      <c r="BQ93" s="23"/>
      <c r="BR93" s="23">
        <f t="shared" si="362"/>
        <v>4923.4043507616207</v>
      </c>
      <c r="BS93" s="30">
        <f t="shared" si="363"/>
        <v>5294.9892188293834</v>
      </c>
      <c r="BT93" s="31">
        <f t="shared" si="364"/>
        <v>1183.25</v>
      </c>
      <c r="BU93" s="31">
        <f t="shared" si="365"/>
        <v>1200.8256086676156</v>
      </c>
      <c r="BV93" s="31">
        <f t="shared" si="366"/>
        <v>1284.2674792871667</v>
      </c>
      <c r="BW93" s="31">
        <f t="shared" si="367"/>
        <v>1242.7237973124329</v>
      </c>
      <c r="BX93" s="31">
        <f t="shared" si="368"/>
        <v>1355.3117318341631</v>
      </c>
      <c r="BY93" s="32">
        <f t="shared" si="369"/>
        <v>1282.3421644386472</v>
      </c>
      <c r="BZ93" s="33"/>
      <c r="CA93" s="34">
        <f t="shared" si="370"/>
        <v>-0.13291987163655283</v>
      </c>
      <c r="CB93" s="34">
        <f t="shared" si="371"/>
        <v>8.6030086335429745E-2</v>
      </c>
      <c r="CC93" s="34">
        <f t="shared" si="372"/>
        <v>-5.0327008896090653E-2</v>
      </c>
      <c r="CD93" s="34">
        <f t="shared" si="373"/>
        <v>7.5473156701070243E-2</v>
      </c>
      <c r="CE93" s="33"/>
      <c r="CF93" s="34">
        <f t="shared" si="374"/>
        <v>5.6903351865887464E-2</v>
      </c>
      <c r="CG93" s="33"/>
      <c r="CH93" s="34">
        <f t="shared" si="375"/>
        <v>1.4853673076370644E-2</v>
      </c>
      <c r="CI93" s="34">
        <f t="shared" si="375"/>
        <v>6.9487084566871138E-2</v>
      </c>
      <c r="CJ93" s="34">
        <f t="shared" si="375"/>
        <v>-3.2348153826796788E-2</v>
      </c>
      <c r="CK93" s="34">
        <f t="shared" si="375"/>
        <v>-0.18205171489118233</v>
      </c>
    </row>
    <row r="94" spans="2:89" s="8" customFormat="1" hidden="1" outlineLevel="1">
      <c r="B94" s="8" t="s">
        <v>74</v>
      </c>
      <c r="O94" s="22">
        <f>824*1.310659375</f>
        <v>1079.9833249999999</v>
      </c>
      <c r="P94" s="23">
        <f>602*1.25901230769231</f>
        <v>757.9254092307707</v>
      </c>
      <c r="Q94" s="23">
        <f>1023*1.22021818181818</f>
        <v>1248.2831999999983</v>
      </c>
      <c r="R94" s="23">
        <f>867*1.18926615384615</f>
        <v>1031.093755384612</v>
      </c>
      <c r="S94" s="22">
        <f>1546*1.20340769230769</f>
        <v>1860.4682923076887</v>
      </c>
      <c r="T94" s="23">
        <f>744*1.25839538461538</f>
        <v>936.24616615384264</v>
      </c>
      <c r="U94" s="23">
        <f>690*1.27458307692308</f>
        <v>879.46232307692514</v>
      </c>
      <c r="V94" s="23">
        <f>1060*1.28997538461538</f>
        <v>1367.373907692303</v>
      </c>
      <c r="W94" s="22">
        <f>1714*1.31110461538462</f>
        <v>2247.2333107692384</v>
      </c>
      <c r="X94" s="23">
        <f>1403*1.34827846153846</f>
        <v>1891.6346815384593</v>
      </c>
      <c r="Y94" s="23">
        <f>(428-7.33333333333333)*1.37456923076923</f>
        <v>578.23545641025612</v>
      </c>
      <c r="Z94" s="23">
        <f>(1068--1)*1.44840303030303</f>
        <v>1548.3428393939391</v>
      </c>
      <c r="AA94" s="22">
        <f>(745-25.6666666666667)*1.49919384615385</f>
        <v>1078.4201066666694</v>
      </c>
      <c r="AB94" s="23">
        <f>830*1.56319846153846</f>
        <v>1297.4547230769217</v>
      </c>
      <c r="AC94" s="23">
        <f>(-142-48.6666666666667)*1.50399242424242</f>
        <v>-286.76122222222148</v>
      </c>
      <c r="AD94" s="23">
        <f>-2064*1.32013787878788</f>
        <v>-2724.7645818181841</v>
      </c>
      <c r="AE94" s="22">
        <f>215*1.3063203125</f>
        <v>280.85886718749998</v>
      </c>
      <c r="AF94" s="23">
        <f>(927--58.6666666666667)*1.36302923076923</f>
        <v>1343.4924784615378</v>
      </c>
      <c r="AG94" s="23">
        <f>(873--37)*1.43024393939394</f>
        <v>1301.5219848484853</v>
      </c>
      <c r="AH94" s="23">
        <f>636*1.47664393939394</f>
        <v>939.14554545454575</v>
      </c>
      <c r="AI94" s="22">
        <f>944*1.3848</f>
        <v>1307.2511999999999</v>
      </c>
      <c r="AJ94" s="23">
        <f>642*1.2731</f>
        <v>817.33019999999999</v>
      </c>
      <c r="AK94" s="23">
        <f>650*1.2917</f>
        <v>839.60500000000002</v>
      </c>
      <c r="AL94" s="23">
        <f>872*1.3592</f>
        <v>1185.2223999999999</v>
      </c>
      <c r="AM94" s="22">
        <f>895*1.3687</f>
        <v>1224.9865</v>
      </c>
      <c r="AN94" s="23">
        <f>505*1.4394</f>
        <v>726.89700000000005</v>
      </c>
      <c r="AO94" s="23">
        <f>338*1.4136</f>
        <v>477.79679999999996</v>
      </c>
      <c r="AP94" s="23">
        <f>497*1.3482</f>
        <v>670.05540000000008</v>
      </c>
      <c r="AQ94" s="22">
        <f>952.4394*1.3114</f>
        <v>1249.0290291599999</v>
      </c>
      <c r="AR94" s="23">
        <f>701*1.2836</f>
        <v>899.80360000000007</v>
      </c>
      <c r="AS94" s="23">
        <f>597*1.2513</f>
        <v>747.02610000000004</v>
      </c>
      <c r="AT94" s="24">
        <f>500*1.2975</f>
        <v>648.75</v>
      </c>
      <c r="AU94" s="25">
        <f>766*1.3202</f>
        <v>1011.2732</v>
      </c>
      <c r="AV94" s="24">
        <f>787*1.3057</f>
        <v>1027.5859</v>
      </c>
      <c r="AW94" s="24">
        <f>643*1.32442</f>
        <v>851.60205999999994</v>
      </c>
      <c r="AX94" s="23">
        <f>541*1.361378</f>
        <v>736.50549799999999</v>
      </c>
      <c r="AY94" s="25">
        <f>770.06*1.37026825396825</f>
        <v>1055.1887716507906</v>
      </c>
      <c r="AZ94" s="24">
        <f>700.69*1.3713453125</f>
        <v>960.88794701562506</v>
      </c>
      <c r="BA94" s="26">
        <f>729.14*1.26871352448617</f>
        <v>925.06977924384603</v>
      </c>
      <c r="BB94" s="23">
        <f>728.42*1.24938230769231</f>
        <v>910.07506056923251</v>
      </c>
      <c r="BC94" s="25">
        <f>1012.21*1.1254753968254</f>
        <v>1139.2174514206383</v>
      </c>
      <c r="BD94" s="24">
        <f>974.56*1.10673095238095</f>
        <v>1078.5757169523786</v>
      </c>
      <c r="BE94" s="24">
        <f>588*1.11170378787879</f>
        <v>653.68182727272858</v>
      </c>
      <c r="BF94" s="23"/>
      <c r="BG94" s="25"/>
      <c r="BH94" s="24"/>
      <c r="BI94" s="24"/>
      <c r="BJ94" s="23"/>
      <c r="BK94" s="24"/>
      <c r="BL94" s="29">
        <f t="shared" si="357"/>
        <v>3099.7357000000002</v>
      </c>
      <c r="BM94" s="23">
        <f t="shared" si="358"/>
        <v>3544.6087291600002</v>
      </c>
      <c r="BN94" s="23">
        <f t="shared" si="359"/>
        <v>3626.9666579999998</v>
      </c>
      <c r="BO94" s="23">
        <f t="shared" si="360"/>
        <v>3851.221558479494</v>
      </c>
      <c r="BP94" s="23">
        <f t="shared" si="361"/>
        <v>2871.4749956457454</v>
      </c>
      <c r="BQ94" s="23"/>
      <c r="BR94" s="23">
        <f t="shared" si="362"/>
        <v>3677.6519959102616</v>
      </c>
      <c r="BS94" s="30">
        <f t="shared" si="363"/>
        <v>3781.5500562149782</v>
      </c>
      <c r="BT94" s="31">
        <f t="shared" si="364"/>
        <v>774.93392500000004</v>
      </c>
      <c r="BU94" s="31">
        <f t="shared" si="365"/>
        <v>886.15218229000004</v>
      </c>
      <c r="BV94" s="31">
        <f t="shared" si="366"/>
        <v>906.74166449999996</v>
      </c>
      <c r="BW94" s="31">
        <f t="shared" si="367"/>
        <v>962.80538961987349</v>
      </c>
      <c r="BX94" s="31">
        <f t="shared" si="368"/>
        <v>957.15833188191516</v>
      </c>
      <c r="BY94" s="32">
        <f t="shared" si="369"/>
        <v>931.35157336420514</v>
      </c>
      <c r="BZ94" s="33"/>
      <c r="CA94" s="34">
        <f t="shared" si="370"/>
        <v>-0.39393978837223342</v>
      </c>
      <c r="CB94" s="34">
        <f t="shared" si="371"/>
        <v>-0.29337024953182511</v>
      </c>
      <c r="CC94" s="34">
        <f t="shared" si="372"/>
        <v>-0.29813633651627902</v>
      </c>
      <c r="CD94" s="34">
        <f t="shared" si="373"/>
        <v>2.8251194082598463E-2</v>
      </c>
      <c r="CE94" s="33"/>
      <c r="CF94" s="34">
        <f t="shared" si="374"/>
        <v>2.7708933184588336E-2</v>
      </c>
      <c r="CG94" s="33"/>
      <c r="CH94" s="34">
        <f t="shared" si="375"/>
        <v>0.14351966497014557</v>
      </c>
      <c r="CI94" s="34">
        <f t="shared" si="375"/>
        <v>2.323470236996128E-2</v>
      </c>
      <c r="CJ94" s="34">
        <f t="shared" si="375"/>
        <v>6.1829876485038904E-2</v>
      </c>
      <c r="CK94" s="34">
        <f t="shared" si="375"/>
        <v>-0.25439890901020079</v>
      </c>
    </row>
    <row r="95" spans="2:89" s="8" customFormat="1" hidden="1" outlineLevel="1">
      <c r="B95" s="8" t="s">
        <v>75</v>
      </c>
      <c r="O95" s="22">
        <f>936/1.18179093006696</f>
        <v>792.01826328703203</v>
      </c>
      <c r="P95" s="23">
        <f>717/1.2262072165063</f>
        <v>584.72988117201817</v>
      </c>
      <c r="Q95" s="23">
        <f>1191/1.2731750919634</f>
        <v>935.4565664360623</v>
      </c>
      <c r="R95" s="23">
        <f>1084/1.30106828551284</f>
        <v>833.16149664867248</v>
      </c>
      <c r="S95" s="22">
        <f>2642/1.29571400088145</f>
        <v>2039.0302167011369</v>
      </c>
      <c r="T95" s="23">
        <f>1998/1.24200401859975</f>
        <v>1608.6904471151138</v>
      </c>
      <c r="U95" s="23">
        <f>1542/1.23727922517284</f>
        <v>1246.2829477999135</v>
      </c>
      <c r="V95" s="23">
        <f>2205/1.23509407876847</f>
        <v>1785.2891029958114</v>
      </c>
      <c r="W95" s="22">
        <f>2868/1.23273802977337</f>
        <v>2326.528370774171</v>
      </c>
      <c r="X95" s="23">
        <f>2673/1.22240293114084</f>
        <v>2186.6766938339651</v>
      </c>
      <c r="Y95" s="23">
        <f>1448/1.19889112487371</f>
        <v>1207.7827335259747</v>
      </c>
      <c r="Z95" s="23">
        <f>2015/1.14587907122353</f>
        <v>1758.4752620086276</v>
      </c>
      <c r="AA95" s="22">
        <f>2048/1.06675970047235</f>
        <v>1919.8325537542964</v>
      </c>
      <c r="AB95" s="23">
        <f>1680/1.03106342716605</f>
        <v>1629.3856961036797</v>
      </c>
      <c r="AC95" s="23">
        <f>1225/1.07158969959517</f>
        <v>1143.1614175302227</v>
      </c>
      <c r="AD95" s="23">
        <f>231/1.15387496023516</f>
        <v>200.195002024242</v>
      </c>
      <c r="AE95" s="22">
        <f>1371/1.14636850650843</f>
        <v>1195.9505099941598</v>
      </c>
      <c r="AF95" s="23">
        <f>1456/1.11054400750259</f>
        <v>1311.0691608469233</v>
      </c>
      <c r="AG95" s="23">
        <f>1162/1.06193206768699</f>
        <v>1094.2319526436088</v>
      </c>
      <c r="AH95" s="23">
        <f>948/1.02143151890403</f>
        <v>928.1092099225408</v>
      </c>
      <c r="AI95" s="22">
        <f>1255/1.0572</f>
        <v>1187.0979947029891</v>
      </c>
      <c r="AJ95" s="23">
        <f>1365/1.1085</f>
        <v>1231.3937753721245</v>
      </c>
      <c r="AK95" s="23">
        <f>904/1.0321</f>
        <v>875.88411975583756</v>
      </c>
      <c r="AL95" s="23">
        <f>945/0.9731</f>
        <v>971.12321446922215</v>
      </c>
      <c r="AM95" s="22">
        <f>1357/0.9412</f>
        <v>1441.7764555886101</v>
      </c>
      <c r="AN95" s="23">
        <f>1094/0.8698</f>
        <v>1257.7604046907334</v>
      </c>
      <c r="AO95" s="23">
        <f>-1148/0.8254</f>
        <v>-1390.8408044584444</v>
      </c>
      <c r="AP95" s="23">
        <f>696/0.9214</f>
        <v>755.37225960494902</v>
      </c>
      <c r="AQ95" s="22">
        <f>999/0.9215</f>
        <v>1084.1020075963104</v>
      </c>
      <c r="AR95" s="23">
        <f>265/0.9364</f>
        <v>282.99871849636907</v>
      </c>
      <c r="AS95" s="23">
        <f>725/0.9623</f>
        <v>753.40330458277037</v>
      </c>
      <c r="AT95" s="24">
        <f>542/0.932972</f>
        <v>580.9391921729698</v>
      </c>
      <c r="AU95" s="25">
        <f>1108/0.930375</f>
        <v>1190.9176407362622</v>
      </c>
      <c r="AV95" s="24">
        <f>1006/0.9429</f>
        <v>1066.9212005514901</v>
      </c>
      <c r="AW95" s="24">
        <f>838/0.932202</f>
        <v>898.94679479340311</v>
      </c>
      <c r="AX95" s="24">
        <f>814/0.90304</f>
        <v>901.39971651311134</v>
      </c>
      <c r="AY95" s="25">
        <f>1020/0.892953968253968</f>
        <v>1142.2761265000599</v>
      </c>
      <c r="AZ95" s="24">
        <f>869/0.8890421875</f>
        <v>977.45642694824312</v>
      </c>
      <c r="BA95" s="26">
        <f>861/0.955109837631328</f>
        <v>901.46699999999964</v>
      </c>
      <c r="BB95" s="24">
        <f>908/0.964156153846154</f>
        <v>941.75616302178923</v>
      </c>
      <c r="BC95" s="25">
        <f>1156/0.953146825396825</f>
        <v>1212.824686814354</v>
      </c>
      <c r="BD95" s="24">
        <f>1128/0.941266666666666</f>
        <v>1198.3851547560034</v>
      </c>
      <c r="BE95" s="24">
        <f>944/0.9862</f>
        <v>957.20949097546145</v>
      </c>
      <c r="BF95" s="24"/>
      <c r="BG95" s="25"/>
      <c r="BH95" s="24"/>
      <c r="BI95" s="24"/>
      <c r="BJ95" s="24"/>
      <c r="BK95" s="24"/>
      <c r="BL95" s="29">
        <f t="shared" si="357"/>
        <v>2064.0683154258477</v>
      </c>
      <c r="BM95" s="23">
        <f t="shared" si="358"/>
        <v>2701.4432228484197</v>
      </c>
      <c r="BN95" s="23">
        <f t="shared" si="359"/>
        <v>4058.1853525942665</v>
      </c>
      <c r="BO95" s="23">
        <f t="shared" si="360"/>
        <v>3962.9557164700918</v>
      </c>
      <c r="BP95" s="23">
        <f t="shared" si="361"/>
        <v>3368.4193325458191</v>
      </c>
      <c r="BQ95" s="23"/>
      <c r="BR95" s="23">
        <f t="shared" si="362"/>
        <v>3922.5992699614139</v>
      </c>
      <c r="BS95" s="30">
        <f t="shared" si="363"/>
        <v>4310.1754955676079</v>
      </c>
      <c r="BT95" s="31">
        <f t="shared" si="364"/>
        <v>516.01707885646192</v>
      </c>
      <c r="BU95" s="31">
        <f t="shared" si="365"/>
        <v>675.36080571210493</v>
      </c>
      <c r="BV95" s="31">
        <f t="shared" si="366"/>
        <v>1014.5463381485666</v>
      </c>
      <c r="BW95" s="31">
        <f t="shared" si="367"/>
        <v>990.73892911752296</v>
      </c>
      <c r="BX95" s="31">
        <f t="shared" si="368"/>
        <v>1122.8064441819397</v>
      </c>
      <c r="BY95" s="32">
        <f t="shared" si="369"/>
        <v>884.69825241859826</v>
      </c>
      <c r="BZ95" s="33"/>
      <c r="CA95" s="34">
        <f t="shared" si="370"/>
        <v>-0.20125054355304195</v>
      </c>
      <c r="CB95" s="34">
        <f t="shared" si="371"/>
        <v>6.1835309529313598E-2</v>
      </c>
      <c r="CC95" s="34">
        <f t="shared" si="372"/>
        <v>8.1961548311677124E-2</v>
      </c>
      <c r="CD95" s="34">
        <f t="shared" si="373"/>
        <v>9.8805969953185357E-2</v>
      </c>
      <c r="CE95" s="33"/>
      <c r="CF95" s="34">
        <f t="shared" si="374"/>
        <v>0.26914056980716139</v>
      </c>
      <c r="CG95" s="33"/>
      <c r="CH95" s="34">
        <f t="shared" si="375"/>
        <v>0.30879545151637688</v>
      </c>
      <c r="CI95" s="34">
        <f t="shared" si="375"/>
        <v>0.50222863033756049</v>
      </c>
      <c r="CJ95" s="34">
        <f t="shared" si="375"/>
        <v>-2.3466063732968112E-2</v>
      </c>
      <c r="CK95" s="34">
        <f t="shared" si="375"/>
        <v>-0.15002347400789073</v>
      </c>
    </row>
    <row r="96" spans="2:89" s="8" customFormat="1" hidden="1" outlineLevel="1">
      <c r="B96" s="47" t="s">
        <v>76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37">
        <f t="shared" ref="O96:AH96" si="376">AVERAGE(O92:O95)</f>
        <v>924.67412938056907</v>
      </c>
      <c r="P96" s="38">
        <f t="shared" si="376"/>
        <v>695.47070890175746</v>
      </c>
      <c r="Q96" s="38">
        <f t="shared" si="376"/>
        <v>1079.0040071133801</v>
      </c>
      <c r="R96" s="38">
        <f t="shared" si="376"/>
        <v>882.9983337276675</v>
      </c>
      <c r="S96" s="37">
        <f t="shared" si="376"/>
        <v>1834.1585693779432</v>
      </c>
      <c r="T96" s="38">
        <f t="shared" si="376"/>
        <v>1155.8796472648139</v>
      </c>
      <c r="U96" s="38">
        <f t="shared" si="376"/>
        <v>994.69340645386808</v>
      </c>
      <c r="V96" s="38">
        <f t="shared" si="376"/>
        <v>1481.6240887299482</v>
      </c>
      <c r="W96" s="37">
        <f t="shared" si="376"/>
        <v>2112.1681371872119</v>
      </c>
      <c r="X96" s="38">
        <f t="shared" si="376"/>
        <v>2057.5157304633299</v>
      </c>
      <c r="Y96" s="38">
        <f t="shared" si="376"/>
        <v>813.22592262143598</v>
      </c>
      <c r="Z96" s="38">
        <f t="shared" si="376"/>
        <v>1698.0307379520002</v>
      </c>
      <c r="AA96" s="37">
        <f t="shared" si="376"/>
        <v>1296.6832928624769</v>
      </c>
      <c r="AB96" s="38">
        <f t="shared" si="376"/>
        <v>1704.9575465542284</v>
      </c>
      <c r="AC96" s="38">
        <f t="shared" si="376"/>
        <v>269.2913865416952</v>
      </c>
      <c r="AD96" s="38">
        <f t="shared" si="376"/>
        <v>-1303.0598189030272</v>
      </c>
      <c r="AE96" s="37">
        <f t="shared" si="376"/>
        <v>1042.5089661427696</v>
      </c>
      <c r="AF96" s="38">
        <f t="shared" si="376"/>
        <v>1471.3866338610201</v>
      </c>
      <c r="AG96" s="38">
        <f t="shared" si="376"/>
        <v>1274.1973372623916</v>
      </c>
      <c r="AH96" s="38">
        <f t="shared" si="376"/>
        <v>892.77883665598119</v>
      </c>
      <c r="AI96" s="37">
        <f>AVERAGE(AI92:AI95)</f>
        <v>1222.5480486757472</v>
      </c>
      <c r="AJ96" s="38">
        <f t="shared" ref="AJ96:AL96" si="377">AVERAGE(AJ92:AJ95)</f>
        <v>1098.276543843031</v>
      </c>
      <c r="AK96" s="38">
        <f t="shared" si="377"/>
        <v>860.10790493895945</v>
      </c>
      <c r="AL96" s="38">
        <f t="shared" si="377"/>
        <v>1140.9124786173056</v>
      </c>
      <c r="AM96" s="37">
        <f>AVERAGE(AM92:AM95)</f>
        <v>1313.5994888971527</v>
      </c>
      <c r="AN96" s="38">
        <f t="shared" ref="AN96:AP96" si="378">AVERAGE(AN92:AN95)</f>
        <v>1085.7839011726833</v>
      </c>
      <c r="AO96" s="38">
        <f t="shared" si="378"/>
        <v>98.517098885388918</v>
      </c>
      <c r="AP96" s="38">
        <f t="shared" si="378"/>
        <v>680.34391490123721</v>
      </c>
      <c r="AQ96" s="37">
        <f>AVERAGE(AQ92:AQ95)</f>
        <v>1182.4190091890775</v>
      </c>
      <c r="AR96" s="38">
        <f t="shared" ref="AR96:AT96" si="379">AVERAGE(AR92:AR95)</f>
        <v>770.20057962409237</v>
      </c>
      <c r="AS96" s="38">
        <f t="shared" si="379"/>
        <v>834.42597916182933</v>
      </c>
      <c r="AT96" s="38">
        <f t="shared" si="379"/>
        <v>720.00640597472136</v>
      </c>
      <c r="AU96" s="37">
        <f>AVERAGE(AU92:AU95)</f>
        <v>1132.7049791006607</v>
      </c>
      <c r="AV96" s="38">
        <f t="shared" ref="AV96:BE96" si="380">AVERAGE(AV92:AV95)</f>
        <v>1166.2896271105101</v>
      </c>
      <c r="AW96" s="38">
        <f t="shared" si="380"/>
        <v>926.36677588658893</v>
      </c>
      <c r="AX96" s="38">
        <f t="shared" si="380"/>
        <v>875.25621958797376</v>
      </c>
      <c r="AY96" s="37">
        <f t="shared" si="380"/>
        <v>1130.1547726989866</v>
      </c>
      <c r="AZ96" s="38">
        <f t="shared" si="380"/>
        <v>1068.1801037151638</v>
      </c>
      <c r="BA96" s="39">
        <f t="shared" si="380"/>
        <v>897.09156981096123</v>
      </c>
      <c r="BB96" s="38">
        <f t="shared" si="380"/>
        <v>940.82329576794098</v>
      </c>
      <c r="BC96" s="37">
        <f t="shared" si="380"/>
        <v>1183.1916608898387</v>
      </c>
      <c r="BD96" s="38">
        <f t="shared" si="380"/>
        <v>1156.4631520111907</v>
      </c>
      <c r="BE96" s="38">
        <f t="shared" si="380"/>
        <v>877.91985417868909</v>
      </c>
      <c r="BF96" s="38"/>
      <c r="BG96" s="37"/>
      <c r="BH96" s="38"/>
      <c r="BI96" s="38"/>
      <c r="BJ96" s="38"/>
      <c r="BK96" s="23"/>
      <c r="BL96" s="42">
        <f t="shared" si="357"/>
        <v>3178.2444038564618</v>
      </c>
      <c r="BM96" s="38">
        <f t="shared" si="358"/>
        <v>3507.0519739497208</v>
      </c>
      <c r="BN96" s="38">
        <f t="shared" si="359"/>
        <v>4100.6176016857335</v>
      </c>
      <c r="BO96" s="38">
        <f t="shared" si="360"/>
        <v>4036.2497419930523</v>
      </c>
      <c r="BP96" s="38">
        <f t="shared" si="361"/>
        <v>3217.5746670797184</v>
      </c>
      <c r="BQ96" s="23"/>
      <c r="BR96" s="38">
        <f t="shared" si="362"/>
        <v>3970.6826658130849</v>
      </c>
      <c r="BS96" s="43">
        <f t="shared" si="363"/>
        <v>4158.3979628476591</v>
      </c>
      <c r="BT96" s="44">
        <f t="shared" si="364"/>
        <v>794.56110096411544</v>
      </c>
      <c r="BU96" s="44">
        <f t="shared" si="365"/>
        <v>876.76299348743021</v>
      </c>
      <c r="BV96" s="44">
        <f t="shared" si="366"/>
        <v>1025.1544004214334</v>
      </c>
      <c r="BW96" s="44">
        <f t="shared" si="367"/>
        <v>1009.0624354982631</v>
      </c>
      <c r="BX96" s="44">
        <f t="shared" si="368"/>
        <v>1072.5248890265727</v>
      </c>
      <c r="BY96" s="45">
        <f t="shared" si="369"/>
        <v>976.53015956641093</v>
      </c>
      <c r="BZ96" s="33"/>
      <c r="CA96" s="46">
        <f t="shared" si="370"/>
        <v>-0.24085791004070511</v>
      </c>
      <c r="CB96" s="46">
        <f t="shared" si="371"/>
        <v>-2.1370968446746241E-2</v>
      </c>
      <c r="CC96" s="46">
        <f t="shared" si="372"/>
        <v>-0.10098029684152898</v>
      </c>
      <c r="CD96" s="46">
        <f t="shared" si="373"/>
        <v>4.7275320853708891E-2</v>
      </c>
      <c r="CE96" s="33"/>
      <c r="CF96" s="46">
        <f t="shared" si="374"/>
        <v>9.8301858390922092E-2</v>
      </c>
      <c r="CG96" s="33"/>
      <c r="CH96" s="46">
        <f t="shared" si="375"/>
        <v>0.10345572218872978</v>
      </c>
      <c r="CI96" s="46">
        <f t="shared" si="375"/>
        <v>0.16924916771835741</v>
      </c>
      <c r="CJ96" s="46">
        <f t="shared" si="375"/>
        <v>-1.5697113446086708E-2</v>
      </c>
      <c r="CK96" s="46">
        <f t="shared" si="375"/>
        <v>-0.20283062923382977</v>
      </c>
    </row>
    <row r="97" spans="2:89" s="8" customFormat="1" hidden="1" outlineLevel="1">
      <c r="B97" s="36" t="s">
        <v>77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>
        <f t="shared" ref="O97:AH97" si="381">AVERAGE(O85:O89,O92:O95)</f>
        <v>1071.7452985177135</v>
      </c>
      <c r="P97" s="38">
        <f t="shared" si="381"/>
        <v>859.1081408381591</v>
      </c>
      <c r="Q97" s="38">
        <f t="shared" si="381"/>
        <v>1198.5790026675174</v>
      </c>
      <c r="R97" s="38">
        <f t="shared" si="381"/>
        <v>1032.5731251478753</v>
      </c>
      <c r="S97" s="37">
        <f t="shared" si="381"/>
        <v>1813.6212135167289</v>
      </c>
      <c r="T97" s="38">
        <f t="shared" si="381"/>
        <v>1469.391867724305</v>
      </c>
      <c r="U97" s="38">
        <f t="shared" si="381"/>
        <v>1231.8857774202004</v>
      </c>
      <c r="V97" s="38">
        <f t="shared" si="381"/>
        <v>1544.0264082737306</v>
      </c>
      <c r="W97" s="37">
        <f t="shared" si="381"/>
        <v>2297.8946764452048</v>
      </c>
      <c r="X97" s="38">
        <f t="shared" si="381"/>
        <v>2125.7790239237484</v>
      </c>
      <c r="Y97" s="38">
        <f t="shared" si="381"/>
        <v>1382.0006376497054</v>
      </c>
      <c r="Z97" s="38">
        <f t="shared" si="381"/>
        <v>1641.2198600653335</v>
      </c>
      <c r="AA97" s="37">
        <f t="shared" si="381"/>
        <v>1617.5895681567624</v>
      </c>
      <c r="AB97" s="38">
        <f t="shared" si="381"/>
        <v>1808.8590799578358</v>
      </c>
      <c r="AC97" s="38">
        <f t="shared" si="381"/>
        <v>1811.817603286469</v>
      </c>
      <c r="AD97" s="38">
        <f t="shared" si="381"/>
        <v>-891.8557654219685</v>
      </c>
      <c r="AE97" s="37">
        <f t="shared" si="381"/>
        <v>1353.9669479153049</v>
      </c>
      <c r="AF97" s="38">
        <f t="shared" si="381"/>
        <v>1640.3940594937865</v>
      </c>
      <c r="AG97" s="38">
        <f t="shared" si="381"/>
        <v>1465.7543721166187</v>
      </c>
      <c r="AH97" s="38">
        <f t="shared" si="381"/>
        <v>1103.7905940693249</v>
      </c>
      <c r="AI97" s="37">
        <f>AVERAGE(AI85:AI89,AI92:AI95)</f>
        <v>1431.5769105225545</v>
      </c>
      <c r="AJ97" s="38">
        <f t="shared" ref="AJ97:BE97" si="382">AVERAGE(AJ85:AJ89,AJ92:AJ95)</f>
        <v>1062.6784639302359</v>
      </c>
      <c r="AK97" s="38">
        <f t="shared" si="382"/>
        <v>1093.2701799728709</v>
      </c>
      <c r="AL97" s="38">
        <f t="shared" si="382"/>
        <v>1162.5166571632469</v>
      </c>
      <c r="AM97" s="37">
        <f t="shared" si="382"/>
        <v>1464.3775506209568</v>
      </c>
      <c r="AN97" s="38">
        <f t="shared" si="382"/>
        <v>1221.4595116323037</v>
      </c>
      <c r="AO97" s="38">
        <f t="shared" si="382"/>
        <v>667.34093283795062</v>
      </c>
      <c r="AP97" s="38">
        <f t="shared" si="382"/>
        <v>822.48618440054997</v>
      </c>
      <c r="AQ97" s="37">
        <f t="shared" si="382"/>
        <v>1382.1862263062567</v>
      </c>
      <c r="AR97" s="38">
        <f t="shared" si="382"/>
        <v>934.08914649959661</v>
      </c>
      <c r="AS97" s="38">
        <f t="shared" si="382"/>
        <v>994.63376851636872</v>
      </c>
      <c r="AT97" s="38">
        <f t="shared" si="382"/>
        <v>912.33618043320951</v>
      </c>
      <c r="AU97" s="37">
        <f t="shared" si="382"/>
        <v>1266.313324044738</v>
      </c>
      <c r="AV97" s="38">
        <f t="shared" si="382"/>
        <v>1296.5731676046712</v>
      </c>
      <c r="AW97" s="38">
        <f t="shared" si="382"/>
        <v>1104.9407892829283</v>
      </c>
      <c r="AX97" s="38">
        <f t="shared" si="382"/>
        <v>999.22498648354383</v>
      </c>
      <c r="AY97" s="37">
        <f t="shared" si="382"/>
        <v>1241.2910100884385</v>
      </c>
      <c r="AZ97" s="38">
        <f t="shared" si="382"/>
        <v>1181.3022683178506</v>
      </c>
      <c r="BA97" s="39">
        <f t="shared" si="382"/>
        <v>1101.5962532493161</v>
      </c>
      <c r="BB97" s="38">
        <f t="shared" si="382"/>
        <v>1090.6992425635294</v>
      </c>
      <c r="BC97" s="37">
        <f t="shared" si="382"/>
        <v>1445.7518492843728</v>
      </c>
      <c r="BD97" s="38">
        <f t="shared" si="382"/>
        <v>1363.3169564494181</v>
      </c>
      <c r="BE97" s="38">
        <f t="shared" si="382"/>
        <v>1156.9643796349728</v>
      </c>
      <c r="BF97" s="38"/>
      <c r="BG97" s="37"/>
      <c r="BH97" s="38"/>
      <c r="BI97" s="38"/>
      <c r="BJ97" s="38"/>
      <c r="BK97" s="23"/>
      <c r="BL97" s="42">
        <f t="shared" si="357"/>
        <v>4175.6641794917614</v>
      </c>
      <c r="BM97" s="38">
        <f t="shared" si="358"/>
        <v>4223.2453217554321</v>
      </c>
      <c r="BN97" s="38">
        <f t="shared" si="359"/>
        <v>4667.0522674158819</v>
      </c>
      <c r="BO97" s="38">
        <f t="shared" si="360"/>
        <v>4614.8887742191346</v>
      </c>
      <c r="BP97" s="38">
        <f t="shared" si="361"/>
        <v>3966.033185368764</v>
      </c>
      <c r="BQ97" s="23"/>
      <c r="BR97" s="38">
        <f t="shared" si="362"/>
        <v>4523.4145181391486</v>
      </c>
      <c r="BS97" s="43">
        <f t="shared" si="363"/>
        <v>5056.7324279322929</v>
      </c>
      <c r="BT97" s="44">
        <f t="shared" si="364"/>
        <v>1043.9160448729403</v>
      </c>
      <c r="BU97" s="44">
        <f t="shared" si="365"/>
        <v>1055.811330438858</v>
      </c>
      <c r="BV97" s="44">
        <f t="shared" si="366"/>
        <v>1166.7630668539705</v>
      </c>
      <c r="BW97" s="44">
        <f t="shared" si="367"/>
        <v>1153.7221935547836</v>
      </c>
      <c r="BX97" s="44">
        <f t="shared" si="368"/>
        <v>1322.011061789588</v>
      </c>
      <c r="BY97" s="45">
        <f t="shared" si="369"/>
        <v>1147.2709800093141</v>
      </c>
      <c r="BZ97" s="33"/>
      <c r="CA97" s="46">
        <f t="shared" si="370"/>
        <v>-0.15136067650171658</v>
      </c>
      <c r="CB97" s="46">
        <f t="shared" si="371"/>
        <v>5.0261723587331053E-2</v>
      </c>
      <c r="CC97" s="46">
        <f t="shared" si="372"/>
        <v>8.4490933655272382E-3</v>
      </c>
      <c r="CD97" s="46">
        <f t="shared" si="373"/>
        <v>0.11790162224896905</v>
      </c>
      <c r="CE97" s="33"/>
      <c r="CF97" s="46">
        <f t="shared" si="374"/>
        <v>0.15230933652558276</v>
      </c>
      <c r="CG97" s="33"/>
      <c r="CH97" s="46">
        <f t="shared" si="375"/>
        <v>1.139486803018297E-2</v>
      </c>
      <c r="CI97" s="46">
        <f t="shared" si="375"/>
        <v>0.10508670746031323</v>
      </c>
      <c r="CJ97" s="46">
        <f t="shared" si="375"/>
        <v>-1.117696786062139E-2</v>
      </c>
      <c r="CK97" s="46">
        <f t="shared" si="375"/>
        <v>-0.14060048261079938</v>
      </c>
    </row>
    <row r="98" spans="2:89" s="8" customFormat="1" hidden="1" outlineLevel="1">
      <c r="O98" s="56"/>
      <c r="P98" s="57"/>
      <c r="Q98" s="57"/>
      <c r="R98" s="57"/>
      <c r="S98" s="56"/>
      <c r="T98" s="57"/>
      <c r="U98" s="57"/>
      <c r="V98" s="57"/>
      <c r="W98" s="56"/>
      <c r="X98" s="57"/>
      <c r="Y98" s="57"/>
      <c r="Z98" s="57"/>
      <c r="AA98" s="56"/>
      <c r="AB98" s="57"/>
      <c r="AC98" s="57"/>
      <c r="AD98" s="57"/>
      <c r="AE98" s="56"/>
      <c r="AF98" s="57"/>
      <c r="AG98" s="57"/>
      <c r="AH98" s="57"/>
      <c r="AI98" s="56"/>
      <c r="AJ98" s="57"/>
      <c r="AK98" s="57"/>
      <c r="AL98" s="57"/>
      <c r="AM98" s="56"/>
      <c r="AN98" s="57"/>
      <c r="AO98" s="57"/>
      <c r="AP98" s="57"/>
      <c r="AQ98" s="56"/>
      <c r="AR98" s="57"/>
      <c r="AS98" s="57"/>
      <c r="AT98" s="57"/>
      <c r="AU98" s="56"/>
      <c r="AV98" s="57"/>
      <c r="AW98" s="57"/>
      <c r="AX98" s="57"/>
      <c r="AY98" s="56"/>
      <c r="AZ98" s="57"/>
      <c r="BA98" s="58"/>
      <c r="BB98" s="57"/>
      <c r="BC98" s="56"/>
      <c r="BD98" s="57"/>
      <c r="BE98" s="57"/>
      <c r="BF98" s="57"/>
      <c r="BG98" s="56"/>
      <c r="BH98" s="57"/>
      <c r="BI98" s="57"/>
      <c r="BJ98" s="57"/>
      <c r="BK98" s="57"/>
      <c r="BL98" s="59"/>
      <c r="BM98" s="57"/>
      <c r="BN98" s="57"/>
      <c r="BO98" s="57"/>
      <c r="BP98" s="57"/>
      <c r="BQ98" s="57"/>
      <c r="BR98" s="57"/>
      <c r="BS98" s="60"/>
      <c r="BT98" s="33"/>
      <c r="BU98" s="33"/>
      <c r="BV98" s="33"/>
      <c r="BW98" s="33"/>
      <c r="BX98" s="33"/>
      <c r="BY98" s="61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</row>
    <row r="99" spans="2:89" collapsed="1">
      <c r="B99" s="14" t="s">
        <v>83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48"/>
      <c r="P99" s="49"/>
      <c r="Q99" s="49"/>
      <c r="R99" s="49"/>
      <c r="S99" s="48"/>
      <c r="T99" s="49"/>
      <c r="U99" s="49"/>
      <c r="V99" s="49"/>
      <c r="W99" s="48"/>
      <c r="X99" s="49"/>
      <c r="Y99" s="49"/>
      <c r="Z99" s="49"/>
      <c r="AA99" s="48"/>
      <c r="AB99" s="49"/>
      <c r="AC99" s="49"/>
      <c r="AD99" s="49"/>
      <c r="AE99" s="48"/>
      <c r="AF99" s="49"/>
      <c r="AG99" s="49"/>
      <c r="AH99" s="49"/>
      <c r="AI99" s="48"/>
      <c r="AJ99" s="49"/>
      <c r="AK99" s="49"/>
      <c r="AL99" s="49"/>
      <c r="AM99" s="48"/>
      <c r="AN99" s="49"/>
      <c r="AO99" s="49"/>
      <c r="AP99" s="49"/>
      <c r="AQ99" s="48"/>
      <c r="AR99" s="49"/>
      <c r="AS99" s="49"/>
      <c r="AT99" s="49"/>
      <c r="AU99" s="48"/>
      <c r="AV99" s="49"/>
      <c r="AW99" s="49"/>
      <c r="AX99" s="49"/>
      <c r="AY99" s="48"/>
      <c r="AZ99" s="49"/>
      <c r="BA99" s="50"/>
      <c r="BB99" s="49"/>
      <c r="BC99" s="48"/>
      <c r="BD99" s="49"/>
      <c r="BE99" s="49"/>
      <c r="BF99" s="49"/>
      <c r="BG99" s="48"/>
      <c r="BH99" s="49"/>
      <c r="BI99" s="49"/>
      <c r="BJ99" s="49"/>
      <c r="BK99" s="49"/>
      <c r="BL99" s="51"/>
      <c r="BM99" s="49"/>
      <c r="BN99" s="49"/>
      <c r="BO99" s="49"/>
      <c r="BP99" s="49"/>
      <c r="BQ99" s="49"/>
      <c r="BR99" s="49"/>
      <c r="BS99" s="52"/>
      <c r="BT99" s="53"/>
      <c r="BU99" s="53"/>
      <c r="BV99" s="53"/>
      <c r="BW99" s="53"/>
      <c r="BX99" s="53"/>
      <c r="BY99" s="54"/>
      <c r="BZ99" s="55"/>
      <c r="CA99" s="53"/>
      <c r="CB99" s="53"/>
      <c r="CC99" s="53"/>
      <c r="CD99" s="53"/>
      <c r="CE99" s="55"/>
      <c r="CF99" s="53"/>
      <c r="CG99" s="55"/>
      <c r="CH99" s="53"/>
      <c r="CI99" s="53"/>
      <c r="CJ99" s="53"/>
      <c r="CK99" s="53"/>
    </row>
    <row r="100" spans="2:89" s="8" customFormat="1">
      <c r="B100" s="8" t="s">
        <v>66</v>
      </c>
      <c r="C100" s="76">
        <f>SUM(O100:R100)</f>
        <v>14251</v>
      </c>
      <c r="D100" s="76">
        <f>SUM(S100:V100)</f>
        <v>22745</v>
      </c>
      <c r="E100" s="76">
        <f>SUM(W100:Z100)</f>
        <v>27219</v>
      </c>
      <c r="F100" s="76">
        <f>SUM(AA100:AD100)</f>
        <v>11944</v>
      </c>
      <c r="G100" s="76">
        <f>SUM(AE100:AH100)</f>
        <v>33413</v>
      </c>
      <c r="H100" s="76">
        <f>SUM(AI100:AL100)</f>
        <v>21597</v>
      </c>
      <c r="I100" s="76">
        <f>SUM(AM100:AP100)</f>
        <v>16724</v>
      </c>
      <c r="J100" s="76">
        <f>SUM(AQ100:AT100)</f>
        <v>18340</v>
      </c>
      <c r="K100" s="76">
        <f>SUM(AU100:AX100)</f>
        <v>15806</v>
      </c>
      <c r="L100" s="76">
        <f>SUM(AY100:BB100)</f>
        <v>14783</v>
      </c>
      <c r="M100" s="76">
        <f>SUM(BC100:BE100)</f>
        <v>11950</v>
      </c>
      <c r="O100" s="22">
        <f t="shared" ref="O100:AH104" si="383">O70+O85</f>
        <v>4039</v>
      </c>
      <c r="P100" s="23">
        <f t="shared" si="383"/>
        <v>2624</v>
      </c>
      <c r="Q100" s="23">
        <f t="shared" si="383"/>
        <v>4219</v>
      </c>
      <c r="R100" s="23">
        <f t="shared" si="383"/>
        <v>3369</v>
      </c>
      <c r="S100" s="22">
        <f t="shared" si="383"/>
        <v>6287</v>
      </c>
      <c r="T100" s="23">
        <f t="shared" si="383"/>
        <v>6812</v>
      </c>
      <c r="U100" s="23">
        <f t="shared" si="383"/>
        <v>4411</v>
      </c>
      <c r="V100" s="23">
        <f t="shared" si="383"/>
        <v>5235</v>
      </c>
      <c r="W100" s="22">
        <f t="shared" si="383"/>
        <v>7691</v>
      </c>
      <c r="X100" s="23">
        <f t="shared" si="383"/>
        <v>5865</v>
      </c>
      <c r="Y100" s="23">
        <f t="shared" si="383"/>
        <v>7718</v>
      </c>
      <c r="Z100" s="23">
        <f t="shared" si="383"/>
        <v>5945</v>
      </c>
      <c r="AA100" s="22">
        <f t="shared" si="383"/>
        <v>5356</v>
      </c>
      <c r="AB100" s="23">
        <f t="shared" si="383"/>
        <v>5066</v>
      </c>
      <c r="AC100" s="23">
        <f t="shared" si="383"/>
        <v>2982</v>
      </c>
      <c r="AD100" s="23">
        <f t="shared" si="383"/>
        <v>-1460</v>
      </c>
      <c r="AE100" s="22">
        <f t="shared" si="383"/>
        <v>8758</v>
      </c>
      <c r="AF100" s="23">
        <f t="shared" si="383"/>
        <v>10273</v>
      </c>
      <c r="AG100" s="23">
        <f t="shared" si="383"/>
        <v>9041</v>
      </c>
      <c r="AH100" s="23">
        <f t="shared" si="383"/>
        <v>5341</v>
      </c>
      <c r="AI100" s="22">
        <f>AI70+AI85</f>
        <v>8400</v>
      </c>
      <c r="AJ100" s="23">
        <f t="shared" ref="AJ100:BE104" si="384">AJ70+AJ85</f>
        <v>4591</v>
      </c>
      <c r="AK100" s="23">
        <f t="shared" si="384"/>
        <v>4847</v>
      </c>
      <c r="AL100" s="23">
        <f t="shared" si="384"/>
        <v>3759</v>
      </c>
      <c r="AM100" s="22">
        <f t="shared" si="384"/>
        <v>6606</v>
      </c>
      <c r="AN100" s="23">
        <f t="shared" si="384"/>
        <v>3430</v>
      </c>
      <c r="AO100" s="23">
        <f t="shared" si="384"/>
        <v>3612</v>
      </c>
      <c r="AP100" s="23">
        <f t="shared" si="384"/>
        <v>3076</v>
      </c>
      <c r="AQ100" s="22">
        <f t="shared" si="384"/>
        <v>5933</v>
      </c>
      <c r="AR100" s="23">
        <f t="shared" si="384"/>
        <v>3879</v>
      </c>
      <c r="AS100" s="23">
        <f t="shared" si="384"/>
        <v>4554</v>
      </c>
      <c r="AT100" s="23">
        <f t="shared" si="384"/>
        <v>3974</v>
      </c>
      <c r="AU100" s="22">
        <f t="shared" si="384"/>
        <v>5216</v>
      </c>
      <c r="AV100" s="23">
        <f t="shared" si="384"/>
        <v>4254</v>
      </c>
      <c r="AW100" s="23">
        <f t="shared" si="384"/>
        <v>2935</v>
      </c>
      <c r="AX100" s="23">
        <f t="shared" si="384"/>
        <v>3401</v>
      </c>
      <c r="AY100" s="22">
        <f t="shared" si="384"/>
        <v>4431</v>
      </c>
      <c r="AZ100" s="23">
        <f t="shared" si="384"/>
        <v>3849</v>
      </c>
      <c r="BA100" s="26">
        <f t="shared" si="384"/>
        <v>3436</v>
      </c>
      <c r="BB100" s="26">
        <f t="shared" si="384"/>
        <v>3067</v>
      </c>
      <c r="BC100" s="22">
        <f t="shared" si="384"/>
        <v>5503</v>
      </c>
      <c r="BD100" s="23">
        <f t="shared" si="384"/>
        <v>3416</v>
      </c>
      <c r="BE100" s="23">
        <f t="shared" si="384"/>
        <v>3031</v>
      </c>
      <c r="BF100" s="23"/>
      <c r="BG100" s="22"/>
      <c r="BH100" s="23"/>
      <c r="BI100" s="23"/>
      <c r="BJ100" s="23"/>
      <c r="BK100" s="23"/>
      <c r="BL100" s="29">
        <f t="shared" ref="BL100:BL105" si="385">SUM(AM100:AP100)</f>
        <v>16724</v>
      </c>
      <c r="BM100" s="23">
        <f t="shared" ref="BM100:BM105" si="386">SUM(AQ100:AT100)</f>
        <v>18340</v>
      </c>
      <c r="BN100" s="23">
        <f t="shared" ref="BN100:BN105" si="387">SUM(AU100:AX100)</f>
        <v>15806</v>
      </c>
      <c r="BO100" s="23">
        <f t="shared" ref="BO100:BO105" si="388">SUM(AY100:BB100)</f>
        <v>14783</v>
      </c>
      <c r="BP100" s="23">
        <f t="shared" ref="BP100:BP105" si="389">SUM(BC100:BF100)</f>
        <v>11950</v>
      </c>
      <c r="BQ100" s="23"/>
      <c r="BR100" s="23">
        <f t="shared" ref="BR100:BR105" si="390">SUM(AX100:BA100)</f>
        <v>15117</v>
      </c>
      <c r="BS100" s="30">
        <f t="shared" ref="BS100:BS105" si="391">SUM(BB100:BE100)</f>
        <v>15017</v>
      </c>
      <c r="BT100" s="31">
        <f t="shared" ref="BT100:BT105" si="392">AVERAGE(AM100:AP100)</f>
        <v>4181</v>
      </c>
      <c r="BU100" s="31">
        <f t="shared" ref="BU100:BU105" si="393">AVERAGE(AQ100:AT100)</f>
        <v>4585</v>
      </c>
      <c r="BV100" s="31">
        <f t="shared" ref="BV100:BV105" si="394">AVERAGE(AU100:AX100)</f>
        <v>3951.5</v>
      </c>
      <c r="BW100" s="31">
        <f t="shared" ref="BW100:BW105" si="395">AVERAGE(AY100:BB100)</f>
        <v>3695.75</v>
      </c>
      <c r="BX100" s="31">
        <f t="shared" ref="BX100:BX105" si="396">AVERAGE(BC100:BF100)</f>
        <v>3983.3333333333335</v>
      </c>
      <c r="BY100" s="32">
        <f t="shared" ref="BY100:BY105" si="397">AVERAGE(AI100:BD100)</f>
        <v>4371.318181818182</v>
      </c>
      <c r="BZ100" s="33"/>
      <c r="CA100" s="34">
        <f t="shared" ref="CA100:CA105" si="398">BE100/BD100-1</f>
        <v>-0.11270491803278693</v>
      </c>
      <c r="CB100" s="34">
        <f t="shared" ref="CB100:CB105" si="399">BE100/BA100-1</f>
        <v>-0.11786961583236322</v>
      </c>
      <c r="CC100" s="34">
        <f t="shared" ref="CC100:CC105" si="400">BE100/BY100-1</f>
        <v>-0.30661647724318652</v>
      </c>
      <c r="CD100" s="34">
        <f t="shared" ref="CD100:CD105" si="401">BS100/BR100-1</f>
        <v>-6.6150691274723394E-3</v>
      </c>
      <c r="CE100" s="33"/>
      <c r="CF100" s="34">
        <f t="shared" ref="CF100:CF105" si="402">BX100/BY100-1</f>
        <v>-8.8756945238763651E-2</v>
      </c>
      <c r="CG100" s="33"/>
      <c r="CH100" s="34">
        <f t="shared" ref="CH100:CK105" si="403">BM100/BL100-1</f>
        <v>9.6627601052379886E-2</v>
      </c>
      <c r="CI100" s="34">
        <f t="shared" si="403"/>
        <v>-0.13816793893129775</v>
      </c>
      <c r="CJ100" s="34">
        <f t="shared" si="403"/>
        <v>-6.4722257370618763E-2</v>
      </c>
      <c r="CK100" s="34">
        <f t="shared" si="403"/>
        <v>-0.19163904484881278</v>
      </c>
    </row>
    <row r="101" spans="2:89" s="8" customFormat="1">
      <c r="B101" s="8" t="s">
        <v>67</v>
      </c>
      <c r="C101" s="76">
        <f t="shared" ref="C101:C105" si="404">SUM(O101:R101)</f>
        <v>11586</v>
      </c>
      <c r="D101" s="76">
        <f t="shared" ref="D101:D105" si="405">SUM(S101:V101)</f>
        <v>15572</v>
      </c>
      <c r="E101" s="76">
        <f t="shared" ref="E101:E105" si="406">SUM(W101:Z101)</f>
        <v>8178</v>
      </c>
      <c r="F101" s="76">
        <f t="shared" ref="F101:F105" si="407">SUM(AA101:AD101)</f>
        <v>6179</v>
      </c>
      <c r="G101" s="76">
        <f t="shared" ref="G101:G105" si="408">SUM(AE101:AH101)</f>
        <v>11479</v>
      </c>
      <c r="H101" s="76">
        <f t="shared" ref="H101:H105" si="409">SUM(AI101:AL101)</f>
        <v>11538</v>
      </c>
      <c r="I101" s="76">
        <f t="shared" ref="I101:I105" si="410">SUM(AM101:AP101)</f>
        <v>11738</v>
      </c>
      <c r="J101" s="76">
        <f t="shared" ref="J101:J105" si="411">SUM(AQ101:AT101)</f>
        <v>11467</v>
      </c>
      <c r="K101" s="76">
        <f t="shared" ref="K101:K105" si="412">SUM(AU101:AX101)</f>
        <v>10810</v>
      </c>
      <c r="L101" s="76">
        <f t="shared" ref="L101:L105" si="413">SUM(AY101:BB101)</f>
        <v>11164</v>
      </c>
      <c r="M101" s="76">
        <f t="shared" ref="M101:M105" si="414">SUM(BC101:BE101)</f>
        <v>10060</v>
      </c>
      <c r="O101" s="22">
        <f t="shared" si="383"/>
        <v>3212</v>
      </c>
      <c r="P101" s="23">
        <f t="shared" si="383"/>
        <v>2330</v>
      </c>
      <c r="Q101" s="23">
        <f t="shared" si="383"/>
        <v>3244</v>
      </c>
      <c r="R101" s="23">
        <f t="shared" si="383"/>
        <v>2800</v>
      </c>
      <c r="S101" s="22">
        <f t="shared" si="383"/>
        <v>4307</v>
      </c>
      <c r="T101" s="23">
        <f t="shared" si="383"/>
        <v>3800</v>
      </c>
      <c r="U101" s="23">
        <f t="shared" si="383"/>
        <v>3777</v>
      </c>
      <c r="V101" s="23">
        <f t="shared" si="383"/>
        <v>3688</v>
      </c>
      <c r="W101" s="22">
        <f t="shared" si="383"/>
        <v>5639</v>
      </c>
      <c r="X101" s="23">
        <f t="shared" si="383"/>
        <v>5112</v>
      </c>
      <c r="Y101" s="23">
        <f t="shared" si="383"/>
        <v>3668</v>
      </c>
      <c r="Z101" s="23">
        <f t="shared" si="383"/>
        <v>-6241</v>
      </c>
      <c r="AA101" s="22">
        <f t="shared" si="383"/>
        <v>4988</v>
      </c>
      <c r="AB101" s="23">
        <f t="shared" si="383"/>
        <v>3006</v>
      </c>
      <c r="AC101" s="23">
        <f t="shared" si="383"/>
        <v>13428</v>
      </c>
      <c r="AD101" s="23">
        <f t="shared" si="383"/>
        <v>-15243</v>
      </c>
      <c r="AE101" s="22">
        <f t="shared" si="383"/>
        <v>1671</v>
      </c>
      <c r="AF101" s="23">
        <f t="shared" si="383"/>
        <v>3779</v>
      </c>
      <c r="AG101" s="23">
        <f t="shared" si="383"/>
        <v>3947</v>
      </c>
      <c r="AH101" s="23">
        <f t="shared" si="383"/>
        <v>2082</v>
      </c>
      <c r="AI101" s="22">
        <f t="shared" ref="AI101:AX104" si="415">AI71+AI86</f>
        <v>4086</v>
      </c>
      <c r="AJ101" s="23">
        <f t="shared" si="415"/>
        <v>3016</v>
      </c>
      <c r="AK101" s="23">
        <f t="shared" si="415"/>
        <v>2432</v>
      </c>
      <c r="AL101" s="23">
        <f t="shared" si="415"/>
        <v>2004</v>
      </c>
      <c r="AM101" s="22">
        <f t="shared" si="415"/>
        <v>3668</v>
      </c>
      <c r="AN101" s="23">
        <f t="shared" si="415"/>
        <v>3707</v>
      </c>
      <c r="AO101" s="23">
        <f t="shared" si="415"/>
        <v>2440</v>
      </c>
      <c r="AP101" s="23">
        <f t="shared" si="415"/>
        <v>1923</v>
      </c>
      <c r="AQ101" s="22">
        <f t="shared" si="415"/>
        <v>4546</v>
      </c>
      <c r="AR101" s="23">
        <f t="shared" si="415"/>
        <v>2023</v>
      </c>
      <c r="AS101" s="23">
        <f t="shared" si="415"/>
        <v>2686</v>
      </c>
      <c r="AT101" s="24">
        <f t="shared" si="415"/>
        <v>2212</v>
      </c>
      <c r="AU101" s="22">
        <f t="shared" si="415"/>
        <v>3109</v>
      </c>
      <c r="AV101" s="23">
        <f t="shared" si="415"/>
        <v>2959</v>
      </c>
      <c r="AW101" s="23">
        <f t="shared" si="415"/>
        <v>2545</v>
      </c>
      <c r="AX101" s="23">
        <f t="shared" si="415"/>
        <v>2197</v>
      </c>
      <c r="AY101" s="22">
        <f t="shared" si="384"/>
        <v>3359</v>
      </c>
      <c r="AZ101" s="23">
        <f t="shared" si="384"/>
        <v>2800</v>
      </c>
      <c r="BA101" s="26">
        <f t="shared" si="384"/>
        <v>2781</v>
      </c>
      <c r="BB101" s="26">
        <f t="shared" si="384"/>
        <v>2224</v>
      </c>
      <c r="BC101" s="22">
        <f t="shared" si="384"/>
        <v>4171</v>
      </c>
      <c r="BD101" s="23">
        <f t="shared" si="384"/>
        <v>3537</v>
      </c>
      <c r="BE101" s="23">
        <f t="shared" si="384"/>
        <v>2352</v>
      </c>
      <c r="BF101" s="23"/>
      <c r="BG101" s="22"/>
      <c r="BH101" s="23"/>
      <c r="BI101" s="23"/>
      <c r="BJ101" s="23"/>
      <c r="BK101" s="23"/>
      <c r="BL101" s="29">
        <f t="shared" si="385"/>
        <v>11738</v>
      </c>
      <c r="BM101" s="23">
        <f t="shared" si="386"/>
        <v>11467</v>
      </c>
      <c r="BN101" s="23">
        <f t="shared" si="387"/>
        <v>10810</v>
      </c>
      <c r="BO101" s="23">
        <f t="shared" si="388"/>
        <v>11164</v>
      </c>
      <c r="BP101" s="23">
        <f t="shared" si="389"/>
        <v>10060</v>
      </c>
      <c r="BQ101" s="23"/>
      <c r="BR101" s="23">
        <f t="shared" si="390"/>
        <v>11137</v>
      </c>
      <c r="BS101" s="30">
        <f t="shared" si="391"/>
        <v>12284</v>
      </c>
      <c r="BT101" s="31">
        <f t="shared" si="392"/>
        <v>2934.5</v>
      </c>
      <c r="BU101" s="31">
        <f t="shared" si="393"/>
        <v>2866.75</v>
      </c>
      <c r="BV101" s="31">
        <f t="shared" si="394"/>
        <v>2702.5</v>
      </c>
      <c r="BW101" s="31">
        <f t="shared" si="395"/>
        <v>2791</v>
      </c>
      <c r="BX101" s="31">
        <f t="shared" si="396"/>
        <v>3353.3333333333335</v>
      </c>
      <c r="BY101" s="32">
        <f t="shared" si="397"/>
        <v>2928.409090909091</v>
      </c>
      <c r="BZ101" s="33"/>
      <c r="CA101" s="34">
        <f t="shared" si="398"/>
        <v>-0.33502968617472439</v>
      </c>
      <c r="CB101" s="34">
        <f t="shared" si="399"/>
        <v>-0.15426105717367855</v>
      </c>
      <c r="CC101" s="34">
        <f t="shared" si="400"/>
        <v>-0.19683352735739235</v>
      </c>
      <c r="CD101" s="34">
        <f t="shared" si="401"/>
        <v>0.10299003322259126</v>
      </c>
      <c r="CE101" s="33"/>
      <c r="CF101" s="34">
        <f t="shared" si="402"/>
        <v>0.1451041262449877</v>
      </c>
      <c r="CG101" s="33"/>
      <c r="CH101" s="34">
        <f t="shared" si="403"/>
        <v>-2.3087408417106881E-2</v>
      </c>
      <c r="CI101" s="34">
        <f t="shared" si="403"/>
        <v>-5.7294846080055861E-2</v>
      </c>
      <c r="CJ101" s="34">
        <f t="shared" si="403"/>
        <v>3.2747456059204483E-2</v>
      </c>
      <c r="CK101" s="34">
        <f t="shared" si="403"/>
        <v>-9.8889286993908976E-2</v>
      </c>
    </row>
    <row r="102" spans="2:89" s="8" customFormat="1">
      <c r="B102" s="8" t="s">
        <v>68</v>
      </c>
      <c r="C102" s="76">
        <f t="shared" si="404"/>
        <v>15607</v>
      </c>
      <c r="D102" s="76">
        <f t="shared" si="405"/>
        <v>20663</v>
      </c>
      <c r="E102" s="76">
        <f t="shared" si="406"/>
        <v>-10931</v>
      </c>
      <c r="F102" s="76">
        <f t="shared" si="407"/>
        <v>-39732</v>
      </c>
      <c r="G102" s="76">
        <f t="shared" si="408"/>
        <v>23955</v>
      </c>
      <c r="H102" s="76">
        <f t="shared" si="409"/>
        <v>16852</v>
      </c>
      <c r="I102" s="76">
        <f t="shared" si="410"/>
        <v>11843</v>
      </c>
      <c r="J102" s="76">
        <f t="shared" si="411"/>
        <v>14274</v>
      </c>
      <c r="K102" s="76">
        <f t="shared" si="412"/>
        <v>13351</v>
      </c>
      <c r="L102" s="76">
        <f t="shared" si="413"/>
        <v>13168</v>
      </c>
      <c r="M102" s="76">
        <f t="shared" si="414"/>
        <v>10398</v>
      </c>
      <c r="O102" s="22">
        <f t="shared" si="383"/>
        <v>4131</v>
      </c>
      <c r="P102" s="23">
        <f t="shared" si="383"/>
        <v>3726</v>
      </c>
      <c r="Q102" s="23">
        <f t="shared" si="383"/>
        <v>4188</v>
      </c>
      <c r="R102" s="23">
        <f t="shared" si="383"/>
        <v>3562</v>
      </c>
      <c r="S102" s="22">
        <f t="shared" si="383"/>
        <v>5351</v>
      </c>
      <c r="T102" s="23">
        <f t="shared" si="383"/>
        <v>5120</v>
      </c>
      <c r="U102" s="23">
        <f t="shared" si="383"/>
        <v>4973</v>
      </c>
      <c r="V102" s="23">
        <f t="shared" si="383"/>
        <v>5219</v>
      </c>
      <c r="W102" s="22">
        <f t="shared" si="383"/>
        <v>7149</v>
      </c>
      <c r="X102" s="23">
        <f t="shared" si="383"/>
        <v>6655</v>
      </c>
      <c r="Y102" s="23">
        <f t="shared" si="383"/>
        <v>-5359</v>
      </c>
      <c r="Z102" s="23">
        <f t="shared" si="383"/>
        <v>-19376</v>
      </c>
      <c r="AA102" s="22">
        <f t="shared" si="383"/>
        <v>-5088</v>
      </c>
      <c r="AB102" s="23">
        <f t="shared" si="383"/>
        <v>-5502</v>
      </c>
      <c r="AC102" s="23">
        <f t="shared" si="383"/>
        <v>-6591.0000000000027</v>
      </c>
      <c r="AD102" s="23">
        <f t="shared" si="383"/>
        <v>-22551</v>
      </c>
      <c r="AE102" s="22">
        <f t="shared" si="383"/>
        <v>7957</v>
      </c>
      <c r="AF102" s="23">
        <f t="shared" si="383"/>
        <v>6780</v>
      </c>
      <c r="AG102" s="23">
        <f t="shared" si="383"/>
        <v>5765</v>
      </c>
      <c r="AH102" s="23">
        <f t="shared" si="383"/>
        <v>3453</v>
      </c>
      <c r="AI102" s="22">
        <f t="shared" si="415"/>
        <v>7001</v>
      </c>
      <c r="AJ102" s="23">
        <f t="shared" si="415"/>
        <v>3214</v>
      </c>
      <c r="AK102" s="23">
        <f t="shared" si="415"/>
        <v>4214</v>
      </c>
      <c r="AL102" s="23">
        <f t="shared" si="415"/>
        <v>2423</v>
      </c>
      <c r="AM102" s="22">
        <f t="shared" si="415"/>
        <v>4986</v>
      </c>
      <c r="AN102" s="23">
        <f t="shared" si="415"/>
        <v>3596</v>
      </c>
      <c r="AO102" s="23">
        <f t="shared" si="415"/>
        <v>1306</v>
      </c>
      <c r="AP102" s="23">
        <f t="shared" si="415"/>
        <v>1955</v>
      </c>
      <c r="AQ102" s="22">
        <f t="shared" si="415"/>
        <v>5189</v>
      </c>
      <c r="AR102" s="23">
        <f t="shared" si="415"/>
        <v>3335</v>
      </c>
      <c r="AS102" s="23">
        <f t="shared" si="415"/>
        <v>3249</v>
      </c>
      <c r="AT102" s="23">
        <f t="shared" si="415"/>
        <v>2501</v>
      </c>
      <c r="AU102" s="22">
        <f t="shared" si="415"/>
        <v>4150</v>
      </c>
      <c r="AV102" s="23">
        <f>AV72+AV87</f>
        <v>3447</v>
      </c>
      <c r="AW102" s="23">
        <f>AW72+AW87</f>
        <v>2998</v>
      </c>
      <c r="AX102" s="23">
        <f>AX72+AX87</f>
        <v>2756</v>
      </c>
      <c r="AY102" s="22">
        <f>AY72+AY87</f>
        <v>4099</v>
      </c>
      <c r="AZ102" s="23">
        <f>AZ72+AZ87</f>
        <v>3408</v>
      </c>
      <c r="BA102" s="26">
        <f t="shared" si="384"/>
        <v>3287</v>
      </c>
      <c r="BB102" s="26">
        <f t="shared" si="384"/>
        <v>2374</v>
      </c>
      <c r="BC102" s="22">
        <f t="shared" si="384"/>
        <v>3902</v>
      </c>
      <c r="BD102" s="23">
        <f t="shared" si="384"/>
        <v>3333</v>
      </c>
      <c r="BE102" s="23">
        <f t="shared" si="384"/>
        <v>3163</v>
      </c>
      <c r="BF102" s="23"/>
      <c r="BG102" s="22"/>
      <c r="BH102" s="23"/>
      <c r="BI102" s="23"/>
      <c r="BJ102" s="23"/>
      <c r="BK102" s="23"/>
      <c r="BL102" s="29">
        <f t="shared" si="385"/>
        <v>11843</v>
      </c>
      <c r="BM102" s="23">
        <f t="shared" si="386"/>
        <v>14274</v>
      </c>
      <c r="BN102" s="23">
        <f t="shared" si="387"/>
        <v>13351</v>
      </c>
      <c r="BO102" s="23">
        <f t="shared" si="388"/>
        <v>13168</v>
      </c>
      <c r="BP102" s="23">
        <f t="shared" si="389"/>
        <v>10398</v>
      </c>
      <c r="BQ102" s="23"/>
      <c r="BR102" s="23">
        <f t="shared" si="390"/>
        <v>13550</v>
      </c>
      <c r="BS102" s="30">
        <f t="shared" si="391"/>
        <v>12772</v>
      </c>
      <c r="BT102" s="31">
        <f t="shared" si="392"/>
        <v>2960.75</v>
      </c>
      <c r="BU102" s="31">
        <f t="shared" si="393"/>
        <v>3568.5</v>
      </c>
      <c r="BV102" s="31">
        <f t="shared" si="394"/>
        <v>3337.75</v>
      </c>
      <c r="BW102" s="31">
        <f t="shared" si="395"/>
        <v>3292</v>
      </c>
      <c r="BX102" s="31">
        <f t="shared" si="396"/>
        <v>3466</v>
      </c>
      <c r="BY102" s="32">
        <f t="shared" si="397"/>
        <v>3487.409090909091</v>
      </c>
      <c r="BZ102" s="33"/>
      <c r="CA102" s="34">
        <f t="shared" si="398"/>
        <v>-5.1005100510051027E-2</v>
      </c>
      <c r="CB102" s="34">
        <f t="shared" si="399"/>
        <v>-3.7724368725281399E-2</v>
      </c>
      <c r="CC102" s="34">
        <f t="shared" si="400"/>
        <v>-9.3022952699972627E-2</v>
      </c>
      <c r="CD102" s="34">
        <f t="shared" si="401"/>
        <v>-5.7416974169741675E-2</v>
      </c>
      <c r="CE102" s="33"/>
      <c r="CF102" s="34">
        <f t="shared" si="402"/>
        <v>-6.1389674543488315E-3</v>
      </c>
      <c r="CG102" s="33"/>
      <c r="CH102" s="34">
        <f t="shared" si="403"/>
        <v>0.20526893523600442</v>
      </c>
      <c r="CI102" s="34">
        <f t="shared" si="403"/>
        <v>-6.466302367941712E-2</v>
      </c>
      <c r="CJ102" s="34">
        <f t="shared" si="403"/>
        <v>-1.3706838439068281E-2</v>
      </c>
      <c r="CK102" s="34">
        <f t="shared" si="403"/>
        <v>-0.2103584447144593</v>
      </c>
    </row>
    <row r="103" spans="2:89" s="8" customFormat="1">
      <c r="B103" s="8" t="s">
        <v>69</v>
      </c>
      <c r="C103" s="76">
        <f t="shared" si="404"/>
        <v>12673</v>
      </c>
      <c r="D103" s="76">
        <f t="shared" si="405"/>
        <v>18406</v>
      </c>
      <c r="E103" s="76">
        <f t="shared" si="406"/>
        <v>-2340</v>
      </c>
      <c r="F103" s="76">
        <f t="shared" si="407"/>
        <v>-26109.999999999996</v>
      </c>
      <c r="G103" s="76">
        <f t="shared" si="408"/>
        <v>27080</v>
      </c>
      <c r="H103" s="76">
        <f t="shared" si="409"/>
        <v>17972</v>
      </c>
      <c r="I103" s="76">
        <f t="shared" si="410"/>
        <v>13293</v>
      </c>
      <c r="J103" s="76">
        <f t="shared" si="411"/>
        <v>16586</v>
      </c>
      <c r="K103" s="76">
        <f t="shared" si="412"/>
        <v>16123</v>
      </c>
      <c r="L103" s="76">
        <f t="shared" si="413"/>
        <v>14922</v>
      </c>
      <c r="M103" s="76">
        <f t="shared" si="414"/>
        <v>11504</v>
      </c>
      <c r="O103" s="22">
        <f t="shared" si="383"/>
        <v>3623</v>
      </c>
      <c r="P103" s="23">
        <f t="shared" si="383"/>
        <v>2555</v>
      </c>
      <c r="Q103" s="23">
        <f t="shared" si="383"/>
        <v>3642</v>
      </c>
      <c r="R103" s="23">
        <f t="shared" si="383"/>
        <v>2853</v>
      </c>
      <c r="S103" s="22">
        <f t="shared" si="383"/>
        <v>5176</v>
      </c>
      <c r="T103" s="23">
        <f t="shared" si="383"/>
        <v>4453</v>
      </c>
      <c r="U103" s="23">
        <f t="shared" si="383"/>
        <v>3668</v>
      </c>
      <c r="V103" s="23">
        <f t="shared" si="383"/>
        <v>5109</v>
      </c>
      <c r="W103" s="22">
        <f t="shared" si="383"/>
        <v>5934</v>
      </c>
      <c r="X103" s="23">
        <f t="shared" si="383"/>
        <v>6234</v>
      </c>
      <c r="Y103" s="23">
        <f t="shared" si="383"/>
        <v>1572.0000000000002</v>
      </c>
      <c r="Z103" s="23">
        <f t="shared" si="383"/>
        <v>-16080</v>
      </c>
      <c r="AA103" s="22">
        <f t="shared" si="383"/>
        <v>-7323</v>
      </c>
      <c r="AB103" s="23">
        <f t="shared" si="383"/>
        <v>689</v>
      </c>
      <c r="AC103" s="23">
        <f t="shared" si="383"/>
        <v>-3461.9999999999968</v>
      </c>
      <c r="AD103" s="23">
        <f t="shared" si="383"/>
        <v>-16014</v>
      </c>
      <c r="AE103" s="22">
        <f t="shared" si="383"/>
        <v>9005</v>
      </c>
      <c r="AF103" s="23">
        <f t="shared" si="383"/>
        <v>7572</v>
      </c>
      <c r="AG103" s="23">
        <f t="shared" si="383"/>
        <v>6189</v>
      </c>
      <c r="AH103" s="23">
        <f t="shared" si="383"/>
        <v>4314</v>
      </c>
      <c r="AI103" s="22">
        <f t="shared" si="415"/>
        <v>6306</v>
      </c>
      <c r="AJ103" s="23">
        <f t="shared" si="415"/>
        <v>4108</v>
      </c>
      <c r="AK103" s="23">
        <f t="shared" si="415"/>
        <v>4447</v>
      </c>
      <c r="AL103" s="23">
        <f t="shared" si="415"/>
        <v>3111</v>
      </c>
      <c r="AM103" s="22">
        <f t="shared" si="415"/>
        <v>5086</v>
      </c>
      <c r="AN103" s="23">
        <f t="shared" si="415"/>
        <v>3698</v>
      </c>
      <c r="AO103" s="23">
        <f t="shared" si="415"/>
        <v>2560</v>
      </c>
      <c r="AP103" s="23">
        <f t="shared" si="415"/>
        <v>1949</v>
      </c>
      <c r="AQ103" s="22">
        <f t="shared" si="415"/>
        <v>5697</v>
      </c>
      <c r="AR103" s="23">
        <f t="shared" si="415"/>
        <v>3422</v>
      </c>
      <c r="AS103" s="23">
        <f t="shared" si="415"/>
        <v>4261</v>
      </c>
      <c r="AT103" s="23">
        <f t="shared" si="415"/>
        <v>3206</v>
      </c>
      <c r="AU103" s="22">
        <f t="shared" si="415"/>
        <v>5449</v>
      </c>
      <c r="AV103" s="23">
        <f t="shared" si="415"/>
        <v>4307</v>
      </c>
      <c r="AW103" s="23">
        <f t="shared" si="415"/>
        <v>3508</v>
      </c>
      <c r="AX103" s="23">
        <f t="shared" si="415"/>
        <v>2859</v>
      </c>
      <c r="AY103" s="22">
        <f t="shared" ref="AY103:AZ104" si="416">AY73+AY88</f>
        <v>4811</v>
      </c>
      <c r="AZ103" s="23">
        <f t="shared" si="416"/>
        <v>3739</v>
      </c>
      <c r="BA103" s="26">
        <f t="shared" si="384"/>
        <v>3827</v>
      </c>
      <c r="BB103" s="26">
        <f t="shared" si="384"/>
        <v>2545</v>
      </c>
      <c r="BC103" s="22">
        <f t="shared" si="384"/>
        <v>4356</v>
      </c>
      <c r="BD103" s="23">
        <f t="shared" si="384"/>
        <v>3715</v>
      </c>
      <c r="BE103" s="23">
        <f t="shared" si="384"/>
        <v>3433</v>
      </c>
      <c r="BF103" s="23"/>
      <c r="BG103" s="22"/>
      <c r="BH103" s="23"/>
      <c r="BI103" s="23"/>
      <c r="BJ103" s="23"/>
      <c r="BK103" s="23"/>
      <c r="BL103" s="29">
        <f t="shared" si="385"/>
        <v>13293</v>
      </c>
      <c r="BM103" s="23">
        <f t="shared" si="386"/>
        <v>16586</v>
      </c>
      <c r="BN103" s="23">
        <f t="shared" si="387"/>
        <v>16123</v>
      </c>
      <c r="BO103" s="23">
        <f t="shared" si="388"/>
        <v>14922</v>
      </c>
      <c r="BP103" s="23">
        <f t="shared" si="389"/>
        <v>11504</v>
      </c>
      <c r="BQ103" s="23"/>
      <c r="BR103" s="23">
        <f t="shared" si="390"/>
        <v>15236</v>
      </c>
      <c r="BS103" s="30">
        <f t="shared" si="391"/>
        <v>14049</v>
      </c>
      <c r="BT103" s="31">
        <f t="shared" si="392"/>
        <v>3323.25</v>
      </c>
      <c r="BU103" s="31">
        <f t="shared" si="393"/>
        <v>4146.5</v>
      </c>
      <c r="BV103" s="31">
        <f t="shared" si="394"/>
        <v>4030.75</v>
      </c>
      <c r="BW103" s="31">
        <f t="shared" si="395"/>
        <v>3730.5</v>
      </c>
      <c r="BX103" s="31">
        <f t="shared" si="396"/>
        <v>3834.6666666666665</v>
      </c>
      <c r="BY103" s="32">
        <f t="shared" si="397"/>
        <v>3953.0454545454545</v>
      </c>
      <c r="BZ103" s="33"/>
      <c r="CA103" s="34">
        <f t="shared" si="398"/>
        <v>-7.5908479138627194E-2</v>
      </c>
      <c r="CB103" s="34">
        <f t="shared" si="399"/>
        <v>-0.10295270446825189</v>
      </c>
      <c r="CC103" s="34">
        <f t="shared" si="400"/>
        <v>-0.13155564754447091</v>
      </c>
      <c r="CD103" s="34">
        <f t="shared" si="401"/>
        <v>-7.7907587293252867E-2</v>
      </c>
      <c r="CE103" s="33"/>
      <c r="CF103" s="34">
        <f t="shared" si="402"/>
        <v>-2.9946224813243383E-2</v>
      </c>
      <c r="CG103" s="33"/>
      <c r="CH103" s="34">
        <f t="shared" si="403"/>
        <v>0.2477243662077786</v>
      </c>
      <c r="CI103" s="34">
        <f t="shared" si="403"/>
        <v>-2.7915109128180404E-2</v>
      </c>
      <c r="CJ103" s="34">
        <f t="shared" si="403"/>
        <v>-7.4489859207343523E-2</v>
      </c>
      <c r="CK103" s="34">
        <f t="shared" si="403"/>
        <v>-0.22905776705535452</v>
      </c>
    </row>
    <row r="104" spans="2:89" s="8" customFormat="1">
      <c r="B104" s="8" t="s">
        <v>70</v>
      </c>
      <c r="C104" s="76">
        <f t="shared" si="404"/>
        <v>13736.936000000002</v>
      </c>
      <c r="D104" s="76">
        <f t="shared" si="405"/>
        <v>17658.144999999997</v>
      </c>
      <c r="E104" s="76">
        <f t="shared" si="406"/>
        <v>12353.971</v>
      </c>
      <c r="F104" s="76">
        <f t="shared" si="407"/>
        <v>5131</v>
      </c>
      <c r="G104" s="76">
        <f t="shared" si="408"/>
        <v>25451</v>
      </c>
      <c r="H104" s="76">
        <f t="shared" si="409"/>
        <v>19320</v>
      </c>
      <c r="I104" s="76">
        <f t="shared" si="410"/>
        <v>19263</v>
      </c>
      <c r="J104" s="76">
        <f t="shared" si="411"/>
        <v>19818</v>
      </c>
      <c r="K104" s="76">
        <f t="shared" si="412"/>
        <v>20318</v>
      </c>
      <c r="L104" s="76">
        <f t="shared" si="413"/>
        <v>18572.666666666664</v>
      </c>
      <c r="M104" s="76">
        <f t="shared" si="414"/>
        <v>14648</v>
      </c>
      <c r="O104" s="22">
        <f t="shared" si="383"/>
        <v>4030.4470000000001</v>
      </c>
      <c r="P104" s="23">
        <f t="shared" si="383"/>
        <v>2698.4659999999999</v>
      </c>
      <c r="Q104" s="23">
        <f t="shared" si="383"/>
        <v>4226.8620000000001</v>
      </c>
      <c r="R104" s="23">
        <f t="shared" si="383"/>
        <v>2781.1610000000001</v>
      </c>
      <c r="S104" s="22">
        <f t="shared" si="383"/>
        <v>4585.232</v>
      </c>
      <c r="T104" s="23">
        <f t="shared" si="383"/>
        <v>4348.0330000000004</v>
      </c>
      <c r="U104" s="23">
        <f t="shared" si="383"/>
        <v>4397.9799999999996</v>
      </c>
      <c r="V104" s="23">
        <f t="shared" si="383"/>
        <v>4326.8999999999996</v>
      </c>
      <c r="W104" s="22">
        <f t="shared" si="383"/>
        <v>5793.0050000000001</v>
      </c>
      <c r="X104" s="23">
        <f t="shared" si="383"/>
        <v>5198.9719999999998</v>
      </c>
      <c r="Y104" s="23">
        <f t="shared" si="383"/>
        <v>1606.9939999999999</v>
      </c>
      <c r="Z104" s="23">
        <f t="shared" si="383"/>
        <v>-245</v>
      </c>
      <c r="AA104" s="22">
        <f t="shared" si="383"/>
        <v>1370</v>
      </c>
      <c r="AB104" s="23">
        <f t="shared" si="383"/>
        <v>3112</v>
      </c>
      <c r="AC104" s="23">
        <f t="shared" si="383"/>
        <v>1693</v>
      </c>
      <c r="AD104" s="23">
        <f t="shared" si="383"/>
        <v>-1044</v>
      </c>
      <c r="AE104" s="22">
        <f t="shared" si="383"/>
        <v>6949</v>
      </c>
      <c r="AF104" s="23">
        <f t="shared" si="383"/>
        <v>6736</v>
      </c>
      <c r="AG104" s="23">
        <f t="shared" si="383"/>
        <v>6392</v>
      </c>
      <c r="AH104" s="23">
        <f t="shared" si="383"/>
        <v>5374</v>
      </c>
      <c r="AI104" s="22">
        <f t="shared" si="415"/>
        <v>6818</v>
      </c>
      <c r="AJ104" s="23">
        <f t="shared" si="415"/>
        <v>4013</v>
      </c>
      <c r="AK104" s="23">
        <f t="shared" si="415"/>
        <v>4503</v>
      </c>
      <c r="AL104" s="23">
        <f t="shared" si="415"/>
        <v>3986</v>
      </c>
      <c r="AM104" s="22">
        <f t="shared" si="415"/>
        <v>6624</v>
      </c>
      <c r="AN104" s="23">
        <f t="shared" si="415"/>
        <v>5361</v>
      </c>
      <c r="AO104" s="23">
        <f t="shared" si="415"/>
        <v>3846</v>
      </c>
      <c r="AP104" s="23">
        <f t="shared" si="415"/>
        <v>3432</v>
      </c>
      <c r="AQ104" s="22">
        <f t="shared" si="415"/>
        <v>6440</v>
      </c>
      <c r="AR104" s="23">
        <f t="shared" si="415"/>
        <v>4536</v>
      </c>
      <c r="AS104" s="23">
        <f t="shared" si="415"/>
        <v>4770</v>
      </c>
      <c r="AT104" s="23">
        <f t="shared" si="415"/>
        <v>4072</v>
      </c>
      <c r="AU104" s="22">
        <f t="shared" si="415"/>
        <v>6092</v>
      </c>
      <c r="AV104" s="23">
        <f t="shared" si="415"/>
        <v>5374</v>
      </c>
      <c r="AW104" s="23">
        <f t="shared" si="415"/>
        <v>4688</v>
      </c>
      <c r="AX104" s="23">
        <f t="shared" si="415"/>
        <v>4164</v>
      </c>
      <c r="AY104" s="22">
        <f t="shared" si="416"/>
        <v>5204</v>
      </c>
      <c r="AZ104" s="23">
        <f t="shared" si="416"/>
        <v>4499.6666666666661</v>
      </c>
      <c r="BA104" s="26">
        <f t="shared" si="384"/>
        <v>5073</v>
      </c>
      <c r="BB104" s="26">
        <f t="shared" si="384"/>
        <v>3796</v>
      </c>
      <c r="BC104" s="22">
        <f t="shared" si="384"/>
        <v>5805</v>
      </c>
      <c r="BD104" s="23">
        <f t="shared" si="384"/>
        <v>4507</v>
      </c>
      <c r="BE104" s="23">
        <f t="shared" si="384"/>
        <v>4336</v>
      </c>
      <c r="BF104" s="23"/>
      <c r="BG104" s="22"/>
      <c r="BH104" s="23"/>
      <c r="BI104" s="23"/>
      <c r="BJ104" s="23"/>
      <c r="BK104" s="23"/>
      <c r="BL104" s="29">
        <f t="shared" si="385"/>
        <v>19263</v>
      </c>
      <c r="BM104" s="23">
        <f t="shared" si="386"/>
        <v>19818</v>
      </c>
      <c r="BN104" s="23">
        <f t="shared" si="387"/>
        <v>20318</v>
      </c>
      <c r="BO104" s="23">
        <f t="shared" si="388"/>
        <v>18572.666666666664</v>
      </c>
      <c r="BP104" s="23">
        <f t="shared" si="389"/>
        <v>14648</v>
      </c>
      <c r="BQ104" s="23"/>
      <c r="BR104" s="23">
        <f t="shared" si="390"/>
        <v>18940.666666666664</v>
      </c>
      <c r="BS104" s="30">
        <f t="shared" si="391"/>
        <v>18444</v>
      </c>
      <c r="BT104" s="31">
        <f t="shared" si="392"/>
        <v>4815.75</v>
      </c>
      <c r="BU104" s="31">
        <f t="shared" si="393"/>
        <v>4954.5</v>
      </c>
      <c r="BV104" s="31">
        <f t="shared" si="394"/>
        <v>5079.5</v>
      </c>
      <c r="BW104" s="31">
        <f t="shared" si="395"/>
        <v>4643.1666666666661</v>
      </c>
      <c r="BX104" s="31">
        <f t="shared" si="396"/>
        <v>4882.666666666667</v>
      </c>
      <c r="BY104" s="32">
        <f t="shared" si="397"/>
        <v>4891.075757575758</v>
      </c>
      <c r="BZ104" s="33"/>
      <c r="CA104" s="34">
        <f t="shared" si="398"/>
        <v>-3.7940980696694049E-2</v>
      </c>
      <c r="CB104" s="34">
        <f t="shared" si="399"/>
        <v>-0.14527892765621919</v>
      </c>
      <c r="CC104" s="34">
        <f t="shared" si="400"/>
        <v>-0.11348745860580967</v>
      </c>
      <c r="CD104" s="34">
        <f t="shared" si="401"/>
        <v>-2.6222237865615283E-2</v>
      </c>
      <c r="CE104" s="33"/>
      <c r="CF104" s="34">
        <f t="shared" si="402"/>
        <v>-1.7192722676736549E-3</v>
      </c>
      <c r="CG104" s="33"/>
      <c r="CH104" s="34">
        <f t="shared" si="403"/>
        <v>2.8811711571406384E-2</v>
      </c>
      <c r="CI104" s="34">
        <f t="shared" si="403"/>
        <v>2.5229589262286911E-2</v>
      </c>
      <c r="CJ104" s="34">
        <f t="shared" si="403"/>
        <v>-8.5900843258851056E-2</v>
      </c>
      <c r="CK104" s="34">
        <f t="shared" si="403"/>
        <v>-0.21131411752037033</v>
      </c>
    </row>
    <row r="105" spans="2:89" s="8" customFormat="1">
      <c r="B105" s="36" t="s">
        <v>76</v>
      </c>
      <c r="C105" s="76">
        <f t="shared" si="404"/>
        <v>13570.787200000001</v>
      </c>
      <c r="D105" s="76">
        <f t="shared" si="405"/>
        <v>19008.828999999998</v>
      </c>
      <c r="E105" s="76">
        <f t="shared" si="406"/>
        <v>6895.994200000001</v>
      </c>
      <c r="F105" s="76">
        <f t="shared" si="407"/>
        <v>-8517.5999999999985</v>
      </c>
      <c r="G105" s="76">
        <f t="shared" si="408"/>
        <v>24275.599999999999</v>
      </c>
      <c r="H105" s="76">
        <f t="shared" si="409"/>
        <v>17455.8</v>
      </c>
      <c r="I105" s="76">
        <f t="shared" si="410"/>
        <v>14572.2</v>
      </c>
      <c r="J105" s="76">
        <f t="shared" si="411"/>
        <v>16097</v>
      </c>
      <c r="K105" s="76">
        <f t="shared" si="412"/>
        <v>15281.6</v>
      </c>
      <c r="L105" s="76">
        <f t="shared" si="413"/>
        <v>14521.933333333334</v>
      </c>
      <c r="M105" s="76">
        <f t="shared" si="414"/>
        <v>11712</v>
      </c>
      <c r="N105" s="47"/>
      <c r="O105" s="37">
        <f t="shared" ref="O105:BE105" si="417">AVERAGE(O100:O104)</f>
        <v>3807.0893999999998</v>
      </c>
      <c r="P105" s="38">
        <f t="shared" si="417"/>
        <v>2786.6932000000002</v>
      </c>
      <c r="Q105" s="38">
        <f t="shared" si="417"/>
        <v>3903.9724000000001</v>
      </c>
      <c r="R105" s="38">
        <f t="shared" si="417"/>
        <v>3073.0322000000001</v>
      </c>
      <c r="S105" s="37">
        <f t="shared" si="417"/>
        <v>5141.2464</v>
      </c>
      <c r="T105" s="38">
        <f t="shared" si="417"/>
        <v>4906.6066000000001</v>
      </c>
      <c r="U105" s="38">
        <f t="shared" si="417"/>
        <v>4245.3959999999997</v>
      </c>
      <c r="V105" s="38">
        <f t="shared" si="417"/>
        <v>4715.58</v>
      </c>
      <c r="W105" s="37">
        <f t="shared" si="417"/>
        <v>6441.201</v>
      </c>
      <c r="X105" s="38">
        <f t="shared" si="417"/>
        <v>5812.9944000000005</v>
      </c>
      <c r="Y105" s="38">
        <f t="shared" si="417"/>
        <v>1841.1988000000001</v>
      </c>
      <c r="Z105" s="38">
        <f t="shared" si="417"/>
        <v>-7199.4</v>
      </c>
      <c r="AA105" s="37">
        <f t="shared" si="417"/>
        <v>-139.4</v>
      </c>
      <c r="AB105" s="38">
        <f t="shared" si="417"/>
        <v>1274.2</v>
      </c>
      <c r="AC105" s="38">
        <f t="shared" si="417"/>
        <v>1610</v>
      </c>
      <c r="AD105" s="38">
        <f t="shared" si="417"/>
        <v>-11262.4</v>
      </c>
      <c r="AE105" s="37">
        <f t="shared" si="417"/>
        <v>6868</v>
      </c>
      <c r="AF105" s="38">
        <f t="shared" si="417"/>
        <v>7028</v>
      </c>
      <c r="AG105" s="38">
        <f t="shared" si="417"/>
        <v>6266.8</v>
      </c>
      <c r="AH105" s="38">
        <f t="shared" si="417"/>
        <v>4112.8</v>
      </c>
      <c r="AI105" s="37">
        <f t="shared" si="417"/>
        <v>6522.2</v>
      </c>
      <c r="AJ105" s="38">
        <f t="shared" si="417"/>
        <v>3788.4</v>
      </c>
      <c r="AK105" s="38">
        <f t="shared" si="417"/>
        <v>4088.6</v>
      </c>
      <c r="AL105" s="38">
        <f t="shared" si="417"/>
        <v>3056.6</v>
      </c>
      <c r="AM105" s="37">
        <f t="shared" si="417"/>
        <v>5394</v>
      </c>
      <c r="AN105" s="38">
        <f t="shared" si="417"/>
        <v>3958.4</v>
      </c>
      <c r="AO105" s="38">
        <f t="shared" si="417"/>
        <v>2752.8</v>
      </c>
      <c r="AP105" s="38">
        <f t="shared" si="417"/>
        <v>2467</v>
      </c>
      <c r="AQ105" s="37">
        <f t="shared" si="417"/>
        <v>5561</v>
      </c>
      <c r="AR105" s="38">
        <f t="shared" si="417"/>
        <v>3439</v>
      </c>
      <c r="AS105" s="38">
        <f t="shared" si="417"/>
        <v>3904</v>
      </c>
      <c r="AT105" s="38">
        <f t="shared" si="417"/>
        <v>3193</v>
      </c>
      <c r="AU105" s="37">
        <f t="shared" si="417"/>
        <v>4803.2</v>
      </c>
      <c r="AV105" s="38">
        <f t="shared" si="417"/>
        <v>4068.2</v>
      </c>
      <c r="AW105" s="38">
        <f t="shared" si="417"/>
        <v>3334.8</v>
      </c>
      <c r="AX105" s="38">
        <f t="shared" si="417"/>
        <v>3075.4</v>
      </c>
      <c r="AY105" s="37">
        <f t="shared" si="417"/>
        <v>4380.8</v>
      </c>
      <c r="AZ105" s="38">
        <f t="shared" si="417"/>
        <v>3659.1333333333328</v>
      </c>
      <c r="BA105" s="39">
        <f t="shared" si="417"/>
        <v>3680.8</v>
      </c>
      <c r="BB105" s="39">
        <f t="shared" si="417"/>
        <v>2801.2</v>
      </c>
      <c r="BC105" s="37">
        <f t="shared" si="417"/>
        <v>4747.3999999999996</v>
      </c>
      <c r="BD105" s="38">
        <f t="shared" si="417"/>
        <v>3701.6</v>
      </c>
      <c r="BE105" s="38">
        <f t="shared" si="417"/>
        <v>3263</v>
      </c>
      <c r="BF105" s="38"/>
      <c r="BG105" s="37"/>
      <c r="BH105" s="38"/>
      <c r="BI105" s="38"/>
      <c r="BJ105" s="38"/>
      <c r="BK105" s="23"/>
      <c r="BL105" s="42">
        <f t="shared" si="385"/>
        <v>14572.2</v>
      </c>
      <c r="BM105" s="38">
        <f t="shared" si="386"/>
        <v>16097</v>
      </c>
      <c r="BN105" s="38">
        <f t="shared" si="387"/>
        <v>15281.6</v>
      </c>
      <c r="BO105" s="38">
        <f t="shared" si="388"/>
        <v>14521.933333333334</v>
      </c>
      <c r="BP105" s="38">
        <f t="shared" si="389"/>
        <v>11712</v>
      </c>
      <c r="BQ105" s="23"/>
      <c r="BR105" s="38">
        <f t="shared" si="390"/>
        <v>14796.133333333335</v>
      </c>
      <c r="BS105" s="43">
        <f t="shared" si="391"/>
        <v>14513.199999999999</v>
      </c>
      <c r="BT105" s="44">
        <f t="shared" si="392"/>
        <v>3643.05</v>
      </c>
      <c r="BU105" s="44">
        <f t="shared" si="393"/>
        <v>4024.25</v>
      </c>
      <c r="BV105" s="44">
        <f t="shared" si="394"/>
        <v>3820.4</v>
      </c>
      <c r="BW105" s="44">
        <f t="shared" si="395"/>
        <v>3630.4833333333336</v>
      </c>
      <c r="BX105" s="44">
        <f t="shared" si="396"/>
        <v>3904</v>
      </c>
      <c r="BY105" s="45">
        <f t="shared" si="397"/>
        <v>3926.2515151515149</v>
      </c>
      <c r="BZ105" s="33"/>
      <c r="CA105" s="46">
        <f t="shared" si="398"/>
        <v>-0.1184893019234925</v>
      </c>
      <c r="CB105" s="46">
        <f t="shared" si="399"/>
        <v>-0.11350793305803086</v>
      </c>
      <c r="CC105" s="46">
        <f t="shared" si="400"/>
        <v>-0.16892741399576894</v>
      </c>
      <c r="CD105" s="46">
        <f t="shared" si="401"/>
        <v>-1.9122112984473638E-2</v>
      </c>
      <c r="CE105" s="33"/>
      <c r="CF105" s="46">
        <f t="shared" si="402"/>
        <v>-5.6673687525228278E-3</v>
      </c>
      <c r="CG105" s="33"/>
      <c r="CH105" s="46">
        <f t="shared" si="403"/>
        <v>0.10463759761738101</v>
      </c>
      <c r="CI105" s="46">
        <f t="shared" si="403"/>
        <v>-5.065540162763249E-2</v>
      </c>
      <c r="CJ105" s="46">
        <f t="shared" si="403"/>
        <v>-4.9711199525355076E-2</v>
      </c>
      <c r="CK105" s="46">
        <f t="shared" si="403"/>
        <v>-0.19349581552502193</v>
      </c>
    </row>
    <row r="106" spans="2:89" s="8" customFormat="1">
      <c r="O106" s="56"/>
      <c r="P106" s="57"/>
      <c r="Q106" s="57"/>
      <c r="R106" s="57"/>
      <c r="S106" s="56"/>
      <c r="T106" s="57"/>
      <c r="U106" s="57"/>
      <c r="V106" s="57"/>
      <c r="W106" s="56"/>
      <c r="X106" s="57"/>
      <c r="Y106" s="57"/>
      <c r="Z106" s="57"/>
      <c r="AA106" s="56"/>
      <c r="AB106" s="57"/>
      <c r="AC106" s="57"/>
      <c r="AD106" s="57"/>
      <c r="AE106" s="56"/>
      <c r="AF106" s="57"/>
      <c r="AG106" s="57"/>
      <c r="AH106" s="57"/>
      <c r="AI106" s="56"/>
      <c r="AJ106" s="57"/>
      <c r="AK106" s="57"/>
      <c r="AL106" s="57"/>
      <c r="AM106" s="56"/>
      <c r="AN106" s="57"/>
      <c r="AO106" s="57"/>
      <c r="AP106" s="57"/>
      <c r="AQ106" s="22"/>
      <c r="AR106" s="23"/>
      <c r="AS106" s="23"/>
      <c r="AT106" s="23"/>
      <c r="AU106" s="22"/>
      <c r="AV106" s="23"/>
      <c r="AW106" s="23"/>
      <c r="AX106" s="23"/>
      <c r="AY106" s="22"/>
      <c r="AZ106" s="23"/>
      <c r="BA106" s="26"/>
      <c r="BB106" s="23"/>
      <c r="BC106" s="22"/>
      <c r="BD106" s="23"/>
      <c r="BE106" s="23"/>
      <c r="BF106" s="23"/>
      <c r="BG106" s="22"/>
      <c r="BH106" s="23"/>
      <c r="BI106" s="23"/>
      <c r="BJ106" s="23"/>
      <c r="BK106" s="23"/>
      <c r="BL106" s="59"/>
      <c r="BM106" s="57"/>
      <c r="BN106" s="23"/>
      <c r="BO106" s="23"/>
      <c r="BP106" s="23"/>
      <c r="BQ106" s="57"/>
      <c r="BR106" s="57"/>
      <c r="BS106" s="60"/>
      <c r="BT106" s="33"/>
      <c r="BU106" s="33"/>
      <c r="BV106" s="33"/>
      <c r="BW106" s="33"/>
      <c r="BX106" s="33"/>
      <c r="BY106" s="61"/>
      <c r="BZ106" s="33"/>
      <c r="CA106" s="34"/>
      <c r="CB106" s="34"/>
      <c r="CC106" s="34"/>
      <c r="CD106" s="34"/>
      <c r="CE106" s="33"/>
      <c r="CF106" s="34"/>
      <c r="CG106" s="33"/>
      <c r="CH106" s="34"/>
      <c r="CI106" s="34"/>
      <c r="CJ106" s="34"/>
      <c r="CK106" s="34"/>
    </row>
    <row r="107" spans="2:89" hidden="1" outlineLevel="1">
      <c r="B107" s="8" t="s">
        <v>71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2"/>
      <c r="P107" s="23"/>
      <c r="Q107" s="23"/>
      <c r="R107" s="23"/>
      <c r="S107" s="22"/>
      <c r="T107" s="23"/>
      <c r="U107" s="23"/>
      <c r="V107" s="23"/>
      <c r="W107" s="22"/>
      <c r="X107" s="23"/>
      <c r="Y107" s="23"/>
      <c r="Z107" s="23"/>
      <c r="AA107" s="22"/>
      <c r="AB107" s="23"/>
      <c r="AC107" s="23"/>
      <c r="AD107" s="23"/>
      <c r="AE107" s="22">
        <f t="shared" ref="AE107:BE110" si="418">AE77+AE92</f>
        <v>7014.1067062499997</v>
      </c>
      <c r="AF107" s="23">
        <f t="shared" si="418"/>
        <v>7188.7511723076959</v>
      </c>
      <c r="AG107" s="23">
        <f t="shared" si="418"/>
        <v>5347.5449636363792</v>
      </c>
      <c r="AH107" s="23">
        <f t="shared" si="418"/>
        <v>4974.8564090909158</v>
      </c>
      <c r="AI107" s="22">
        <f t="shared" si="418"/>
        <v>5050.6323999999995</v>
      </c>
      <c r="AJ107" s="23">
        <f t="shared" si="418"/>
        <v>4030.9723999999997</v>
      </c>
      <c r="AK107" s="23">
        <f t="shared" si="418"/>
        <v>3306.0923999999995</v>
      </c>
      <c r="AL107" s="23">
        <f t="shared" si="418"/>
        <v>4196.2144000000008</v>
      </c>
      <c r="AM107" s="22">
        <f t="shared" si="418"/>
        <v>4401.8379999999997</v>
      </c>
      <c r="AN107" s="23">
        <f t="shared" si="418"/>
        <v>3716.3292000000001</v>
      </c>
      <c r="AO107" s="23">
        <f t="shared" si="418"/>
        <v>2859.0047999999997</v>
      </c>
      <c r="AP107" s="23">
        <f t="shared" si="418"/>
        <v>2007.9136000000001</v>
      </c>
      <c r="AQ107" s="22">
        <f t="shared" si="418"/>
        <v>4630.8173999999999</v>
      </c>
      <c r="AR107" s="23">
        <f t="shared" si="418"/>
        <v>3785</v>
      </c>
      <c r="AS107" s="23">
        <f t="shared" si="418"/>
        <v>2655.5125842560001</v>
      </c>
      <c r="AT107" s="23">
        <f t="shared" si="418"/>
        <v>2049.5111999999999</v>
      </c>
      <c r="AU107" s="22">
        <f t="shared" si="418"/>
        <v>3137.6025</v>
      </c>
      <c r="AV107" s="23">
        <f t="shared" si="418"/>
        <v>2576.5690000000004</v>
      </c>
      <c r="AW107" s="23">
        <f t="shared" si="418"/>
        <v>1998.5944999999999</v>
      </c>
      <c r="AX107" s="23">
        <f t="shared" si="418"/>
        <v>1855.2582540000001</v>
      </c>
      <c r="AY107" s="22">
        <f t="shared" si="418"/>
        <v>2464.4840793650733</v>
      </c>
      <c r="AZ107" s="23">
        <f t="shared" si="418"/>
        <v>2361.7821400000003</v>
      </c>
      <c r="BA107" s="26">
        <f t="shared" si="418"/>
        <v>1816.08</v>
      </c>
      <c r="BB107" s="23">
        <f t="shared" si="418"/>
        <v>1627.6458430769264</v>
      </c>
      <c r="BC107" s="22">
        <f t="shared" si="418"/>
        <v>2296.5405492063474</v>
      </c>
      <c r="BD107" s="23">
        <f t="shared" si="418"/>
        <v>2210.75766666667</v>
      </c>
      <c r="BE107" s="23">
        <f t="shared" si="418"/>
        <v>1787.2146621212137</v>
      </c>
      <c r="BF107" s="23"/>
      <c r="BG107" s="22"/>
      <c r="BH107" s="23"/>
      <c r="BI107" s="23"/>
      <c r="BJ107" s="23"/>
      <c r="BK107" s="23"/>
      <c r="BL107" s="29">
        <f t="shared" ref="BL107:BL112" si="419">SUM(AM107:AP107)</f>
        <v>12985.085599999999</v>
      </c>
      <c r="BM107" s="23">
        <f t="shared" ref="BM107:BM112" si="420">SUM(AQ107:AT107)</f>
        <v>13120.841184256002</v>
      </c>
      <c r="BN107" s="23">
        <f t="shared" ref="BN107:BN112" si="421">SUM(AU107:AX107)</f>
        <v>9568.0242539999999</v>
      </c>
      <c r="BO107" s="23">
        <f t="shared" ref="BO107:BO112" si="422">SUM(AY107:BB107)</f>
        <v>8269.992062442001</v>
      </c>
      <c r="BP107" s="23">
        <f t="shared" ref="BP107:BP112" si="423">SUM(BC107:BF107)</f>
        <v>6294.5128779942315</v>
      </c>
      <c r="BQ107" s="23"/>
      <c r="BR107" s="23">
        <f t="shared" ref="BR107:BR112" si="424">SUM(AX107:BA107)</f>
        <v>8497.6044733650742</v>
      </c>
      <c r="BS107" s="30">
        <f t="shared" ref="BS107:BS112" si="425">SUM(BB107:BE107)</f>
        <v>7922.1587210711568</v>
      </c>
      <c r="BT107" s="31">
        <f t="shared" ref="BT107:BT112" si="426">AVERAGE(AM107:AP107)</f>
        <v>3246.2713999999996</v>
      </c>
      <c r="BU107" s="31">
        <f t="shared" ref="BU107:BU112" si="427">AVERAGE(AQ107:AT107)</f>
        <v>3280.2102960640004</v>
      </c>
      <c r="BV107" s="31">
        <f t="shared" ref="BV107:BV112" si="428">AVERAGE(AU107:AX107)</f>
        <v>2392.0060635</v>
      </c>
      <c r="BW107" s="31">
        <f t="shared" ref="BW107:BW112" si="429">AVERAGE(AY107:BB107)</f>
        <v>2067.4980156105003</v>
      </c>
      <c r="BX107" s="31">
        <f t="shared" ref="BX107:BX112" si="430">AVERAGE(BC107:BF107)</f>
        <v>2098.1709593314104</v>
      </c>
      <c r="BY107" s="32">
        <f t="shared" ref="BY107:BY112" si="431">AVERAGE(AI107:BD107)</f>
        <v>2956.143314389592</v>
      </c>
      <c r="BZ107" s="33"/>
      <c r="CA107" s="34">
        <f t="shared" ref="CA107:CA112" si="432">BE107/BD107-1</f>
        <v>-0.19158273696459227</v>
      </c>
      <c r="CB107" s="34">
        <f t="shared" ref="CB107:CB112" si="433">BE107/BA107-1</f>
        <v>-1.5894309655293926E-2</v>
      </c>
      <c r="CC107" s="34">
        <f t="shared" ref="CC107:CC112" si="434">BE107/BY107-1</f>
        <v>-0.39542353937253139</v>
      </c>
      <c r="CD107" s="34">
        <f t="shared" ref="CD107:CD112" si="435">BS107/BR107-1</f>
        <v>-6.7718585172750423E-2</v>
      </c>
      <c r="CE107" s="33"/>
      <c r="CF107" s="34">
        <f t="shared" ref="CF107:CF112" si="436">BX107/BY107-1</f>
        <v>-0.29023368078328182</v>
      </c>
      <c r="CG107" s="33"/>
      <c r="CH107" s="34">
        <f t="shared" ref="CH107:CK112" si="437">BM107/BL107-1</f>
        <v>1.0454731561877706E-2</v>
      </c>
      <c r="CI107" s="34">
        <f t="shared" si="437"/>
        <v>-0.2707766125939477</v>
      </c>
      <c r="CJ107" s="34">
        <f t="shared" si="437"/>
        <v>-0.13566355572471978</v>
      </c>
      <c r="CK107" s="34">
        <f t="shared" si="437"/>
        <v>-0.23887316572156914</v>
      </c>
    </row>
    <row r="108" spans="2:89" hidden="1" outlineLevel="1">
      <c r="B108" s="8" t="s">
        <v>73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2">
        <f t="shared" ref="O108:AH110" si="438">O78+O93</f>
        <v>3018.0207998546753</v>
      </c>
      <c r="P108" s="23">
        <f t="shared" si="438"/>
        <v>2096.7568363024834</v>
      </c>
      <c r="Q108" s="23">
        <f t="shared" si="438"/>
        <v>3022.27225490408</v>
      </c>
      <c r="R108" s="23">
        <f t="shared" si="438"/>
        <v>2350.7397491497181</v>
      </c>
      <c r="S108" s="22">
        <f t="shared" si="438"/>
        <v>4369.9771991250036</v>
      </c>
      <c r="T108" s="23">
        <f t="shared" si="438"/>
        <v>2861.7023285254854</v>
      </c>
      <c r="U108" s="23">
        <f t="shared" si="438"/>
        <v>2995.3349484847654</v>
      </c>
      <c r="V108" s="23">
        <f t="shared" si="438"/>
        <v>4047.2092555017302</v>
      </c>
      <c r="W108" s="22">
        <f t="shared" si="438"/>
        <v>4441.7427300182262</v>
      </c>
      <c r="X108" s="23">
        <f t="shared" si="438"/>
        <v>5280.2358160175645</v>
      </c>
      <c r="Y108" s="23">
        <f t="shared" si="438"/>
        <v>677.29252736401327</v>
      </c>
      <c r="Z108" s="23">
        <f t="shared" si="438"/>
        <v>1230.4963371871788</v>
      </c>
      <c r="AA108" s="22">
        <f t="shared" si="438"/>
        <v>-1469.8717989681331</v>
      </c>
      <c r="AB108" s="23">
        <f t="shared" si="438"/>
        <v>2929.0147632339958</v>
      </c>
      <c r="AC108" s="23">
        <f t="shared" si="438"/>
        <v>-2623.2055058591482</v>
      </c>
      <c r="AD108" s="23">
        <f t="shared" si="438"/>
        <v>-2808.796543552241</v>
      </c>
      <c r="AE108" s="22">
        <f t="shared" si="438"/>
        <v>5216.4726840007843</v>
      </c>
      <c r="AF108" s="23">
        <f t="shared" si="438"/>
        <v>5059.6824277464702</v>
      </c>
      <c r="AG108" s="23">
        <f t="shared" si="438"/>
        <v>4295.9433459209495</v>
      </c>
      <c r="AH108" s="23">
        <f t="shared" si="438"/>
        <v>2117.6162669435189</v>
      </c>
      <c r="AI108" s="22">
        <f t="shared" si="418"/>
        <v>4212.4264000000003</v>
      </c>
      <c r="AJ108" s="23">
        <f t="shared" si="418"/>
        <v>2802.3468000000003</v>
      </c>
      <c r="AK108" s="23">
        <f t="shared" si="418"/>
        <v>2684.8200999999999</v>
      </c>
      <c r="AL108" s="23">
        <f t="shared" si="418"/>
        <v>2378.4310000000005</v>
      </c>
      <c r="AM108" s="22">
        <f t="shared" si="418"/>
        <v>4445</v>
      </c>
      <c r="AN108" s="23">
        <f t="shared" si="418"/>
        <v>2271</v>
      </c>
      <c r="AO108" s="23">
        <f t="shared" si="418"/>
        <v>1518</v>
      </c>
      <c r="AP108" s="23">
        <f t="shared" si="418"/>
        <v>1218</v>
      </c>
      <c r="AQ108" s="22">
        <f t="shared" si="418"/>
        <v>4024</v>
      </c>
      <c r="AR108" s="23">
        <f t="shared" si="418"/>
        <v>2648</v>
      </c>
      <c r="AS108" s="23">
        <f t="shared" si="418"/>
        <v>2620.234611136596</v>
      </c>
      <c r="AT108" s="23">
        <f t="shared" si="418"/>
        <v>1929.9752980345827</v>
      </c>
      <c r="AU108" s="22">
        <f t="shared" si="418"/>
        <v>3529.6646603611352</v>
      </c>
      <c r="AV108" s="23">
        <f t="shared" si="418"/>
        <v>2752.1476296531973</v>
      </c>
      <c r="AW108" s="23">
        <f t="shared" si="418"/>
        <v>2036.0393991860133</v>
      </c>
      <c r="AX108" s="23">
        <f t="shared" si="418"/>
        <v>2007.6607817363774</v>
      </c>
      <c r="AY108" s="22">
        <f t="shared" si="418"/>
        <v>3012.4733140050598</v>
      </c>
      <c r="AZ108" s="23">
        <f t="shared" si="418"/>
        <v>2881.7530101742223</v>
      </c>
      <c r="BA108" s="26">
        <f t="shared" si="418"/>
        <v>2629.0169999999989</v>
      </c>
      <c r="BB108" s="23">
        <f t="shared" si="418"/>
        <v>1861.7316218327223</v>
      </c>
      <c r="BC108" s="22">
        <f t="shared" si="418"/>
        <v>3202.0250381984497</v>
      </c>
      <c r="BD108" s="23">
        <f t="shared" si="418"/>
        <v>2726.1137474325396</v>
      </c>
      <c r="BE108" s="23">
        <f t="shared" si="418"/>
        <v>2118.2315960251472</v>
      </c>
      <c r="BF108" s="23"/>
      <c r="BG108" s="22"/>
      <c r="BH108" s="23"/>
      <c r="BI108" s="23"/>
      <c r="BJ108" s="23"/>
      <c r="BK108" s="23"/>
      <c r="BL108" s="29">
        <f t="shared" si="419"/>
        <v>9452</v>
      </c>
      <c r="BM108" s="23">
        <f t="shared" si="420"/>
        <v>11222.209909171177</v>
      </c>
      <c r="BN108" s="23">
        <f t="shared" si="421"/>
        <v>10325.512470936723</v>
      </c>
      <c r="BO108" s="23">
        <f t="shared" si="422"/>
        <v>10384.974946012004</v>
      </c>
      <c r="BP108" s="23">
        <f t="shared" si="423"/>
        <v>8046.3703816561365</v>
      </c>
      <c r="BQ108" s="23"/>
      <c r="BR108" s="23">
        <f t="shared" si="424"/>
        <v>10530.904105915659</v>
      </c>
      <c r="BS108" s="30">
        <f t="shared" si="425"/>
        <v>9908.1020034888588</v>
      </c>
      <c r="BT108" s="31">
        <f t="shared" si="426"/>
        <v>2363</v>
      </c>
      <c r="BU108" s="31">
        <f t="shared" si="427"/>
        <v>2805.5524772927943</v>
      </c>
      <c r="BV108" s="31">
        <f t="shared" si="428"/>
        <v>2581.3781177341807</v>
      </c>
      <c r="BW108" s="31">
        <f t="shared" si="429"/>
        <v>2596.2437365030009</v>
      </c>
      <c r="BX108" s="31">
        <f t="shared" si="430"/>
        <v>2682.1234605520453</v>
      </c>
      <c r="BY108" s="32">
        <f t="shared" si="431"/>
        <v>2699.584564170495</v>
      </c>
      <c r="BZ108" s="33"/>
      <c r="CA108" s="34">
        <f t="shared" si="432"/>
        <v>-0.2229848816763047</v>
      </c>
      <c r="CB108" s="34">
        <f t="shared" si="433"/>
        <v>-0.19428760026080161</v>
      </c>
      <c r="CC108" s="34">
        <f t="shared" si="434"/>
        <v>-0.2153490488355867</v>
      </c>
      <c r="CD108" s="34">
        <f t="shared" si="435"/>
        <v>-5.9140421008766486E-2</v>
      </c>
      <c r="CE108" s="33"/>
      <c r="CF108" s="34">
        <f t="shared" si="436"/>
        <v>-6.4680706247166597E-3</v>
      </c>
      <c r="CG108" s="33"/>
      <c r="CH108" s="34">
        <f t="shared" si="437"/>
        <v>0.18728416305238871</v>
      </c>
      <c r="CI108" s="34">
        <f t="shared" si="437"/>
        <v>-7.9903819790578146E-2</v>
      </c>
      <c r="CJ108" s="34">
        <f t="shared" si="437"/>
        <v>5.7587916573293985E-3</v>
      </c>
      <c r="CK108" s="34">
        <f t="shared" si="437"/>
        <v>-0.22519116093331826</v>
      </c>
    </row>
    <row r="109" spans="2:89" hidden="1" outlineLevel="1">
      <c r="B109" s="8" t="s">
        <v>74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2">
        <f t="shared" si="438"/>
        <v>4199.3526375000001</v>
      </c>
      <c r="P109" s="23">
        <f t="shared" si="438"/>
        <v>2822.705593846159</v>
      </c>
      <c r="Q109" s="23">
        <f t="shared" si="438"/>
        <v>3505.6868363636313</v>
      </c>
      <c r="R109" s="23">
        <f t="shared" si="438"/>
        <v>2774.5579369230682</v>
      </c>
      <c r="S109" s="22">
        <f t="shared" si="438"/>
        <v>5237.2302769230664</v>
      </c>
      <c r="T109" s="23">
        <f t="shared" si="438"/>
        <v>4028.1236261538311</v>
      </c>
      <c r="U109" s="23">
        <f t="shared" si="438"/>
        <v>3403.1368153846233</v>
      </c>
      <c r="V109" s="23">
        <f t="shared" si="438"/>
        <v>3654.5002646153716</v>
      </c>
      <c r="W109" s="22">
        <f t="shared" si="438"/>
        <v>6644.6781907692539</v>
      </c>
      <c r="X109" s="23">
        <f t="shared" si="438"/>
        <v>5786.8111569230705</v>
      </c>
      <c r="Y109" s="23">
        <f t="shared" si="438"/>
        <v>1349.8269846153839</v>
      </c>
      <c r="Z109" s="23">
        <f t="shared" si="438"/>
        <v>3852.7520606060598</v>
      </c>
      <c r="AA109" s="22">
        <f t="shared" si="438"/>
        <v>2975.8997846153925</v>
      </c>
      <c r="AB109" s="23">
        <f t="shared" si="438"/>
        <v>2235.3737999999976</v>
      </c>
      <c r="AC109" s="23">
        <f t="shared" si="438"/>
        <v>953.53119696969429</v>
      </c>
      <c r="AD109" s="23">
        <f t="shared" si="438"/>
        <v>-6319.5000257575812</v>
      </c>
      <c r="AE109" s="22">
        <f t="shared" si="438"/>
        <v>5260.5518984374994</v>
      </c>
      <c r="AF109" s="23">
        <f t="shared" si="438"/>
        <v>4975.0566923076894</v>
      </c>
      <c r="AG109" s="23">
        <f t="shared" si="438"/>
        <v>4621.1181681818198</v>
      </c>
      <c r="AH109" s="23">
        <f t="shared" si="438"/>
        <v>2823.3432121212131</v>
      </c>
      <c r="AI109" s="22">
        <f t="shared" si="418"/>
        <v>6637.3463999999994</v>
      </c>
      <c r="AJ109" s="23">
        <f t="shared" si="418"/>
        <v>3597.7805999999996</v>
      </c>
      <c r="AK109" s="23">
        <f t="shared" si="418"/>
        <v>3784.681</v>
      </c>
      <c r="AL109" s="23">
        <f t="shared" si="418"/>
        <v>3376.2528000000002</v>
      </c>
      <c r="AM109" s="22">
        <f t="shared" si="418"/>
        <v>6108.5081</v>
      </c>
      <c r="AN109" s="23">
        <f t="shared" si="418"/>
        <v>3846.0767999999998</v>
      </c>
      <c r="AO109" s="23">
        <f t="shared" si="418"/>
        <v>2632.1232</v>
      </c>
      <c r="AP109" s="23">
        <f t="shared" si="418"/>
        <v>2368.7874000000002</v>
      </c>
      <c r="AQ109" s="22">
        <f t="shared" si="418"/>
        <v>5399.6100291599996</v>
      </c>
      <c r="AR109" s="23">
        <f t="shared" si="418"/>
        <v>3636.4388000000004</v>
      </c>
      <c r="AS109" s="23">
        <f t="shared" si="418"/>
        <v>3823.9728000000005</v>
      </c>
      <c r="AT109" s="23">
        <f t="shared" si="418"/>
        <v>2488.6050000000005</v>
      </c>
      <c r="AU109" s="22">
        <f t="shared" si="418"/>
        <v>4598.2565999999997</v>
      </c>
      <c r="AV109" s="23">
        <f t="shared" si="418"/>
        <v>3407.8770000000004</v>
      </c>
      <c r="AW109" s="23">
        <f t="shared" si="418"/>
        <v>2504.47822</v>
      </c>
      <c r="AX109" s="23">
        <f t="shared" si="418"/>
        <v>2121.0269239999998</v>
      </c>
      <c r="AY109" s="22">
        <f t="shared" si="418"/>
        <v>4389.0514335555426</v>
      </c>
      <c r="AZ109" s="23">
        <f t="shared" si="418"/>
        <v>3462.2080835625002</v>
      </c>
      <c r="BA109" s="26">
        <f t="shared" si="418"/>
        <v>2745.4580055823371</v>
      </c>
      <c r="BB109" s="23">
        <f t="shared" si="418"/>
        <v>2343.6787895307739</v>
      </c>
      <c r="BC109" s="22">
        <f t="shared" si="418"/>
        <v>4112.8585068809643</v>
      </c>
      <c r="BD109" s="23">
        <f t="shared" si="418"/>
        <v>4002.6917008571345</v>
      </c>
      <c r="BE109" s="23">
        <f t="shared" si="418"/>
        <v>2571.3708613636413</v>
      </c>
      <c r="BF109" s="23"/>
      <c r="BG109" s="22"/>
      <c r="BH109" s="23"/>
      <c r="BI109" s="23"/>
      <c r="BJ109" s="23"/>
      <c r="BK109" s="23"/>
      <c r="BL109" s="29">
        <f t="shared" si="419"/>
        <v>14955.495500000001</v>
      </c>
      <c r="BM109" s="23">
        <f t="shared" si="420"/>
        <v>15348.62662916</v>
      </c>
      <c r="BN109" s="23">
        <f t="shared" si="421"/>
        <v>12631.638744</v>
      </c>
      <c r="BO109" s="23">
        <f t="shared" si="422"/>
        <v>12940.396312231152</v>
      </c>
      <c r="BP109" s="23">
        <f t="shared" si="423"/>
        <v>10686.92106910174</v>
      </c>
      <c r="BQ109" s="23"/>
      <c r="BR109" s="23">
        <f t="shared" si="424"/>
        <v>12717.744446700379</v>
      </c>
      <c r="BS109" s="30">
        <f t="shared" si="425"/>
        <v>13030.599858632513</v>
      </c>
      <c r="BT109" s="31">
        <f t="shared" si="426"/>
        <v>3738.8738750000002</v>
      </c>
      <c r="BU109" s="31">
        <f t="shared" si="427"/>
        <v>3837.1566572900001</v>
      </c>
      <c r="BV109" s="31">
        <f t="shared" si="428"/>
        <v>3157.909686</v>
      </c>
      <c r="BW109" s="31">
        <f t="shared" si="429"/>
        <v>3235.0990780577881</v>
      </c>
      <c r="BX109" s="31">
        <f t="shared" si="430"/>
        <v>3562.3070230339131</v>
      </c>
      <c r="BY109" s="32">
        <f t="shared" si="431"/>
        <v>3699.444008778602</v>
      </c>
      <c r="BZ109" s="33"/>
      <c r="CA109" s="34">
        <f t="shared" si="432"/>
        <v>-0.35758957882941389</v>
      </c>
      <c r="CB109" s="34">
        <f t="shared" si="433"/>
        <v>-6.3409144800147921E-2</v>
      </c>
      <c r="CC109" s="34">
        <f t="shared" si="434"/>
        <v>-0.30493045569499022</v>
      </c>
      <c r="CD109" s="34">
        <f t="shared" si="435"/>
        <v>2.4599913392134853E-2</v>
      </c>
      <c r="CE109" s="33"/>
      <c r="CF109" s="34">
        <f t="shared" si="436"/>
        <v>-3.7069620575218676E-2</v>
      </c>
      <c r="CG109" s="33"/>
      <c r="CH109" s="34">
        <f t="shared" si="437"/>
        <v>2.6286733806980767E-2</v>
      </c>
      <c r="CI109" s="34">
        <f t="shared" si="437"/>
        <v>-0.17701830598955004</v>
      </c>
      <c r="CJ109" s="34">
        <f t="shared" si="437"/>
        <v>2.4443191773340756E-2</v>
      </c>
      <c r="CK109" s="34">
        <f t="shared" si="437"/>
        <v>-0.17414267606313161</v>
      </c>
    </row>
    <row r="110" spans="2:89" hidden="1" outlineLevel="1">
      <c r="B110" s="8" t="s">
        <v>75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22">
        <f t="shared" si="438"/>
        <v>2640.9070509816529</v>
      </c>
      <c r="P110" s="23">
        <f t="shared" si="438"/>
        <v>1898.5371874037075</v>
      </c>
      <c r="Q110" s="23">
        <f t="shared" si="438"/>
        <v>2481.9838370595776</v>
      </c>
      <c r="R110" s="23">
        <f t="shared" si="438"/>
        <v>2159.763658286688</v>
      </c>
      <c r="S110" s="22">
        <f t="shared" si="438"/>
        <v>3819.5157238659826</v>
      </c>
      <c r="T110" s="23">
        <f t="shared" si="438"/>
        <v>3595.8015699780271</v>
      </c>
      <c r="U110" s="23">
        <f t="shared" si="438"/>
        <v>2701.8961702302922</v>
      </c>
      <c r="V110" s="23">
        <f t="shared" si="438"/>
        <v>3213.5203853924604</v>
      </c>
      <c r="W110" s="22">
        <f t="shared" si="438"/>
        <v>3993.5492222180064</v>
      </c>
      <c r="X110" s="23">
        <f t="shared" si="438"/>
        <v>16877.899096765064</v>
      </c>
      <c r="Y110" s="23">
        <f t="shared" si="438"/>
        <v>-2468.114025209502</v>
      </c>
      <c r="Z110" s="23">
        <f t="shared" si="438"/>
        <v>-12164.459889398642</v>
      </c>
      <c r="AA110" s="22">
        <f t="shared" si="438"/>
        <v>-15904.237845212594</v>
      </c>
      <c r="AB110" s="23">
        <f t="shared" si="438"/>
        <v>-2875.6717791353631</v>
      </c>
      <c r="AC110" s="23">
        <f t="shared" si="438"/>
        <v>-3073.0045289200189</v>
      </c>
      <c r="AD110" s="23">
        <f t="shared" si="438"/>
        <v>-3023.7245110934214</v>
      </c>
      <c r="AE110" s="22">
        <f t="shared" si="438"/>
        <v>-522.51958824690132</v>
      </c>
      <c r="AF110" s="23">
        <f t="shared" si="438"/>
        <v>1257.9420451257911</v>
      </c>
      <c r="AG110" s="23">
        <f t="shared" si="438"/>
        <v>2021.7865768724855</v>
      </c>
      <c r="AH110" s="23">
        <f t="shared" si="438"/>
        <v>1413.7022142701992</v>
      </c>
      <c r="AI110" s="22">
        <f t="shared" si="418"/>
        <v>3234.9602724177075</v>
      </c>
      <c r="AJ110" s="23">
        <f t="shared" si="418"/>
        <v>2767.7041046459181</v>
      </c>
      <c r="AK110" s="23">
        <f t="shared" si="418"/>
        <v>1717.8567968220132</v>
      </c>
      <c r="AL110" s="23">
        <f t="shared" si="418"/>
        <v>1936.0805672592746</v>
      </c>
      <c r="AM110" s="22">
        <f t="shared" si="418"/>
        <v>1964.5133871653206</v>
      </c>
      <c r="AN110" s="23">
        <f t="shared" si="418"/>
        <v>1748.6778569786156</v>
      </c>
      <c r="AO110" s="23">
        <f t="shared" si="418"/>
        <v>-553.67094741943299</v>
      </c>
      <c r="AP110" s="23">
        <f t="shared" si="418"/>
        <v>1369.6548730193185</v>
      </c>
      <c r="AQ110" s="22">
        <f t="shared" si="418"/>
        <v>1742.8106348345091</v>
      </c>
      <c r="AR110" s="23">
        <f t="shared" si="418"/>
        <v>772.10593763348993</v>
      </c>
      <c r="AS110" s="23">
        <f t="shared" si="418"/>
        <v>1186.7401018393432</v>
      </c>
      <c r="AT110" s="23">
        <f t="shared" si="418"/>
        <v>906.77962468327019</v>
      </c>
      <c r="AU110" s="22">
        <f t="shared" si="418"/>
        <v>1873.4381297863765</v>
      </c>
      <c r="AV110" s="23">
        <f t="shared" si="418"/>
        <v>1497.5076890444375</v>
      </c>
      <c r="AW110" s="23">
        <f t="shared" si="418"/>
        <v>1249.7291359598028</v>
      </c>
      <c r="AX110" s="23">
        <f t="shared" si="418"/>
        <v>1255.7583274273566</v>
      </c>
      <c r="AY110" s="22">
        <f t="shared" si="418"/>
        <v>1603.6660913216529</v>
      </c>
      <c r="AZ110" s="23">
        <f t="shared" si="418"/>
        <v>1454.374177265913</v>
      </c>
      <c r="BA110" s="26">
        <f t="shared" si="418"/>
        <v>1241.7419999999995</v>
      </c>
      <c r="BB110" s="23">
        <f t="shared" si="418"/>
        <v>1250.834727537751</v>
      </c>
      <c r="BC110" s="22">
        <f t="shared" si="418"/>
        <v>1969.2663816181162</v>
      </c>
      <c r="BD110" s="23">
        <f t="shared" si="418"/>
        <v>1637.1556059211005</v>
      </c>
      <c r="BE110" s="26">
        <f t="shared" si="418"/>
        <v>1409.450415737173</v>
      </c>
      <c r="BF110" s="23"/>
      <c r="BG110" s="22"/>
      <c r="BH110" s="23"/>
      <c r="BI110" s="23"/>
      <c r="BJ110" s="23"/>
      <c r="BK110" s="23"/>
      <c r="BL110" s="29">
        <f t="shared" si="419"/>
        <v>4529.1751697438212</v>
      </c>
      <c r="BM110" s="23">
        <f t="shared" si="420"/>
        <v>4608.4362989906122</v>
      </c>
      <c r="BN110" s="23">
        <f t="shared" si="421"/>
        <v>5876.4332822179731</v>
      </c>
      <c r="BO110" s="23">
        <f t="shared" si="422"/>
        <v>5550.6169961253163</v>
      </c>
      <c r="BP110" s="23">
        <f t="shared" si="423"/>
        <v>5015.8724032763894</v>
      </c>
      <c r="BQ110" s="23"/>
      <c r="BR110" s="23">
        <f t="shared" si="424"/>
        <v>5555.5405960149219</v>
      </c>
      <c r="BS110" s="30">
        <f t="shared" si="425"/>
        <v>6266.7071308141403</v>
      </c>
      <c r="BT110" s="31">
        <f t="shared" si="426"/>
        <v>1132.2937924359553</v>
      </c>
      <c r="BU110" s="31">
        <f t="shared" si="427"/>
        <v>1152.109074747653</v>
      </c>
      <c r="BV110" s="31">
        <f t="shared" si="428"/>
        <v>1469.1083205544933</v>
      </c>
      <c r="BW110" s="31">
        <f t="shared" si="429"/>
        <v>1387.6542490313291</v>
      </c>
      <c r="BX110" s="31">
        <f t="shared" si="430"/>
        <v>1671.9574677587964</v>
      </c>
      <c r="BY110" s="32">
        <f t="shared" si="431"/>
        <v>1537.622067080084</v>
      </c>
      <c r="BZ110" s="33"/>
      <c r="CA110" s="34">
        <f t="shared" si="432"/>
        <v>-0.13908585681189134</v>
      </c>
      <c r="CB110" s="34">
        <f t="shared" si="433"/>
        <v>0.13505898627667712</v>
      </c>
      <c r="CC110" s="34">
        <f t="shared" si="434"/>
        <v>-8.3357057684731672E-2</v>
      </c>
      <c r="CD110" s="34">
        <f t="shared" si="435"/>
        <v>0.12801032095946696</v>
      </c>
      <c r="CE110" s="33"/>
      <c r="CF110" s="34">
        <f t="shared" si="436"/>
        <v>8.736568208455342E-2</v>
      </c>
      <c r="CG110" s="33"/>
      <c r="CH110" s="34">
        <f t="shared" si="437"/>
        <v>1.7500124476588441E-2</v>
      </c>
      <c r="CI110" s="34">
        <f t="shared" si="437"/>
        <v>0.27514690471149428</v>
      </c>
      <c r="CJ110" s="34">
        <f t="shared" si="437"/>
        <v>-5.5444564831285237E-2</v>
      </c>
      <c r="CK110" s="34">
        <f t="shared" si="437"/>
        <v>-9.6339666963548898E-2</v>
      </c>
    </row>
    <row r="111" spans="2:89" s="8" customFormat="1" hidden="1" outlineLevel="1">
      <c r="B111" s="47" t="s">
        <v>76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37">
        <f t="shared" ref="O111:AH111" si="439">AVERAGE(O107:O110)</f>
        <v>3286.0934961121093</v>
      </c>
      <c r="P111" s="38">
        <f t="shared" si="439"/>
        <v>2272.6665391841166</v>
      </c>
      <c r="Q111" s="38">
        <f t="shared" si="439"/>
        <v>3003.3143094424299</v>
      </c>
      <c r="R111" s="38">
        <f t="shared" si="439"/>
        <v>2428.3537814531583</v>
      </c>
      <c r="S111" s="37">
        <f t="shared" si="439"/>
        <v>4475.5743999713513</v>
      </c>
      <c r="T111" s="38">
        <f t="shared" si="439"/>
        <v>3495.2091748857806</v>
      </c>
      <c r="U111" s="38">
        <f t="shared" si="439"/>
        <v>3033.4559780332274</v>
      </c>
      <c r="V111" s="38">
        <f t="shared" si="439"/>
        <v>3638.409968503187</v>
      </c>
      <c r="W111" s="37">
        <f t="shared" si="439"/>
        <v>5026.6567143351631</v>
      </c>
      <c r="X111" s="38">
        <f t="shared" si="439"/>
        <v>9314.982023235234</v>
      </c>
      <c r="Y111" s="38">
        <f t="shared" si="439"/>
        <v>-146.9981710767016</v>
      </c>
      <c r="Z111" s="38">
        <f t="shared" si="439"/>
        <v>-2360.4038305351346</v>
      </c>
      <c r="AA111" s="37">
        <f t="shared" si="439"/>
        <v>-4799.4032865217787</v>
      </c>
      <c r="AB111" s="38">
        <f t="shared" si="439"/>
        <v>762.90559469954349</v>
      </c>
      <c r="AC111" s="38">
        <f t="shared" si="439"/>
        <v>-1580.8929459364908</v>
      </c>
      <c r="AD111" s="38">
        <f t="shared" si="439"/>
        <v>-4050.6736934677483</v>
      </c>
      <c r="AE111" s="37">
        <f t="shared" si="439"/>
        <v>4242.1529251103448</v>
      </c>
      <c r="AF111" s="38">
        <f t="shared" si="439"/>
        <v>4620.3580843719119</v>
      </c>
      <c r="AG111" s="38">
        <f t="shared" si="439"/>
        <v>4071.5982636529084</v>
      </c>
      <c r="AH111" s="38">
        <f t="shared" si="439"/>
        <v>2832.3795256064618</v>
      </c>
      <c r="AI111" s="37">
        <f>AVERAGE(AI107:AI110)</f>
        <v>4783.8413681044258</v>
      </c>
      <c r="AJ111" s="38">
        <f t="shared" ref="AJ111:AL111" si="440">AVERAGE(AJ107:AJ110)</f>
        <v>3299.7009761614795</v>
      </c>
      <c r="AK111" s="38">
        <f t="shared" si="440"/>
        <v>2873.3625742055028</v>
      </c>
      <c r="AL111" s="38">
        <f t="shared" si="440"/>
        <v>2971.7446918148189</v>
      </c>
      <c r="AM111" s="37">
        <f>AVERAGE(AM107:AM110)</f>
        <v>4229.9648717913296</v>
      </c>
      <c r="AN111" s="38">
        <f t="shared" ref="AN111:AP111" si="441">AVERAGE(AN107:AN110)</f>
        <v>2895.5209642446534</v>
      </c>
      <c r="AO111" s="38">
        <f t="shared" si="441"/>
        <v>1613.8642631451416</v>
      </c>
      <c r="AP111" s="38">
        <f t="shared" si="441"/>
        <v>1741.0889682548295</v>
      </c>
      <c r="AQ111" s="37">
        <f>AVERAGE(AQ107:AQ110)</f>
        <v>3949.3095159986269</v>
      </c>
      <c r="AR111" s="38">
        <f t="shared" ref="AR111:AT111" si="442">AVERAGE(AR107:AR110)</f>
        <v>2710.3861844083726</v>
      </c>
      <c r="AS111" s="38">
        <f t="shared" si="442"/>
        <v>2571.6150243079846</v>
      </c>
      <c r="AT111" s="38">
        <f t="shared" si="442"/>
        <v>1843.7177806794634</v>
      </c>
      <c r="AU111" s="37">
        <f>AVERAGE(AU107:AU110)</f>
        <v>3284.7404725368779</v>
      </c>
      <c r="AV111" s="38">
        <f t="shared" ref="AV111:BE111" si="443">AVERAGE(AV107:AV110)</f>
        <v>2558.525329674409</v>
      </c>
      <c r="AW111" s="38">
        <f t="shared" si="443"/>
        <v>1947.210313786454</v>
      </c>
      <c r="AX111" s="38">
        <f t="shared" si="443"/>
        <v>1809.9260717909335</v>
      </c>
      <c r="AY111" s="37">
        <f t="shared" si="443"/>
        <v>2867.4187295618322</v>
      </c>
      <c r="AZ111" s="38">
        <f t="shared" si="443"/>
        <v>2540.0293527506587</v>
      </c>
      <c r="BA111" s="39">
        <f t="shared" si="443"/>
        <v>2108.0742513955838</v>
      </c>
      <c r="BB111" s="38">
        <f t="shared" si="443"/>
        <v>1770.9727454945432</v>
      </c>
      <c r="BC111" s="37">
        <f t="shared" si="443"/>
        <v>2895.1726189759693</v>
      </c>
      <c r="BD111" s="38">
        <f t="shared" si="443"/>
        <v>2644.1796802193612</v>
      </c>
      <c r="BE111" s="39">
        <f t="shared" si="443"/>
        <v>1971.5668838117938</v>
      </c>
      <c r="BF111" s="38"/>
      <c r="BG111" s="37"/>
      <c r="BH111" s="38"/>
      <c r="BI111" s="38"/>
      <c r="BJ111" s="38"/>
      <c r="BK111" s="23"/>
      <c r="BL111" s="42">
        <f t="shared" si="419"/>
        <v>10480.439067435955</v>
      </c>
      <c r="BM111" s="38">
        <f t="shared" si="420"/>
        <v>11075.028505394446</v>
      </c>
      <c r="BN111" s="38">
        <f t="shared" si="421"/>
        <v>9600.4021877886735</v>
      </c>
      <c r="BO111" s="38">
        <f t="shared" si="422"/>
        <v>9286.4950792026175</v>
      </c>
      <c r="BP111" s="38">
        <f t="shared" si="423"/>
        <v>7510.919183007124</v>
      </c>
      <c r="BQ111" s="23"/>
      <c r="BR111" s="38">
        <f t="shared" si="424"/>
        <v>9325.4484054990098</v>
      </c>
      <c r="BS111" s="43">
        <f t="shared" si="425"/>
        <v>9281.8919285016673</v>
      </c>
      <c r="BT111" s="44">
        <f t="shared" si="426"/>
        <v>2620.1097668589887</v>
      </c>
      <c r="BU111" s="44">
        <f t="shared" si="427"/>
        <v>2768.7571263486116</v>
      </c>
      <c r="BV111" s="44">
        <f t="shared" si="428"/>
        <v>2400.1005469471684</v>
      </c>
      <c r="BW111" s="44">
        <f t="shared" si="429"/>
        <v>2321.6237698006544</v>
      </c>
      <c r="BX111" s="44">
        <f t="shared" si="430"/>
        <v>2503.6397276690413</v>
      </c>
      <c r="BY111" s="45">
        <f t="shared" si="431"/>
        <v>2723.1984886046939</v>
      </c>
      <c r="BZ111" s="33"/>
      <c r="CA111" s="46">
        <f t="shared" si="432"/>
        <v>-0.25437484503767438</v>
      </c>
      <c r="CB111" s="46">
        <f t="shared" si="433"/>
        <v>-6.4754534852564882E-2</v>
      </c>
      <c r="CC111" s="46">
        <f t="shared" si="434"/>
        <v>-0.27601058385502386</v>
      </c>
      <c r="CD111" s="46">
        <f t="shared" si="435"/>
        <v>-4.6707112734287737E-3</v>
      </c>
      <c r="CE111" s="33"/>
      <c r="CF111" s="46">
        <f t="shared" si="436"/>
        <v>-8.0625324174643409E-2</v>
      </c>
      <c r="CG111" s="33"/>
      <c r="CH111" s="46">
        <f t="shared" si="437"/>
        <v>5.6733256510784535E-2</v>
      </c>
      <c r="CI111" s="46">
        <f t="shared" si="437"/>
        <v>-0.13314876046481583</v>
      </c>
      <c r="CJ111" s="46">
        <f t="shared" si="437"/>
        <v>-3.2697287305872846E-2</v>
      </c>
      <c r="CK111" s="46">
        <f t="shared" si="437"/>
        <v>-0.19119978862336862</v>
      </c>
    </row>
    <row r="112" spans="2:89" s="8" customFormat="1" hidden="1" outlineLevel="1">
      <c r="B112" s="36" t="s">
        <v>77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7">
        <f t="shared" ref="O112:AH112" si="444">AVERAGE(O100:O104,O107:O110)</f>
        <v>3611.715936042041</v>
      </c>
      <c r="P112" s="38">
        <f t="shared" si="444"/>
        <v>2593.933202194044</v>
      </c>
      <c r="Q112" s="38">
        <f t="shared" si="444"/>
        <v>3566.2256160409115</v>
      </c>
      <c r="R112" s="38">
        <f t="shared" si="444"/>
        <v>2831.2777930449342</v>
      </c>
      <c r="S112" s="37">
        <f t="shared" si="444"/>
        <v>4891.6193999892566</v>
      </c>
      <c r="T112" s="38">
        <f t="shared" si="444"/>
        <v>4377.3325655821682</v>
      </c>
      <c r="U112" s="38">
        <f t="shared" si="444"/>
        <v>3790.9184917624598</v>
      </c>
      <c r="V112" s="38">
        <f t="shared" si="444"/>
        <v>4311.6412381886958</v>
      </c>
      <c r="W112" s="37">
        <f t="shared" si="444"/>
        <v>5910.7468928756862</v>
      </c>
      <c r="X112" s="38">
        <f t="shared" si="444"/>
        <v>7126.2397587132127</v>
      </c>
      <c r="Y112" s="38">
        <f t="shared" si="444"/>
        <v>1095.6249358462369</v>
      </c>
      <c r="Z112" s="38">
        <f t="shared" si="444"/>
        <v>-5384.7764364506756</v>
      </c>
      <c r="AA112" s="37">
        <f t="shared" si="444"/>
        <v>-1886.9012324456669</v>
      </c>
      <c r="AB112" s="38">
        <f t="shared" si="444"/>
        <v>1082.4645980123287</v>
      </c>
      <c r="AC112" s="38">
        <f t="shared" si="444"/>
        <v>413.41514527381582</v>
      </c>
      <c r="AD112" s="38">
        <f t="shared" si="444"/>
        <v>-8558.0026350504049</v>
      </c>
      <c r="AE112" s="37">
        <f t="shared" si="444"/>
        <v>5700.9568556045988</v>
      </c>
      <c r="AF112" s="38">
        <f t="shared" si="444"/>
        <v>5957.936926387516</v>
      </c>
      <c r="AG112" s="38">
        <f t="shared" si="444"/>
        <v>5291.1547838457373</v>
      </c>
      <c r="AH112" s="38">
        <f t="shared" si="444"/>
        <v>3543.7242336028721</v>
      </c>
      <c r="AI112" s="37">
        <f>AVERAGE(AI100:AI104,AI107:AI110)</f>
        <v>5749.5961636019674</v>
      </c>
      <c r="AJ112" s="38">
        <f t="shared" ref="AJ112:BE112" si="445">AVERAGE(AJ100:AJ104,AJ107:AJ110)</f>
        <v>3571.2004338495462</v>
      </c>
      <c r="AK112" s="38">
        <f t="shared" si="445"/>
        <v>3548.4944774246683</v>
      </c>
      <c r="AL112" s="38">
        <f t="shared" si="445"/>
        <v>3018.8865296954755</v>
      </c>
      <c r="AM112" s="37">
        <f t="shared" si="445"/>
        <v>4876.6510541294811</v>
      </c>
      <c r="AN112" s="38">
        <f t="shared" si="445"/>
        <v>3486.0093174420681</v>
      </c>
      <c r="AO112" s="38">
        <f t="shared" si="445"/>
        <v>2246.6063391756184</v>
      </c>
      <c r="AP112" s="38">
        <f t="shared" si="445"/>
        <v>2144.3728747799241</v>
      </c>
      <c r="AQ112" s="37">
        <f t="shared" si="445"/>
        <v>4844.6931182216122</v>
      </c>
      <c r="AR112" s="38">
        <f t="shared" si="445"/>
        <v>3115.1716375148321</v>
      </c>
      <c r="AS112" s="38">
        <f t="shared" si="445"/>
        <v>3311.8288996924375</v>
      </c>
      <c r="AT112" s="38">
        <f t="shared" si="445"/>
        <v>2593.3190136353169</v>
      </c>
      <c r="AU112" s="37">
        <f t="shared" si="445"/>
        <v>4128.3290989052803</v>
      </c>
      <c r="AV112" s="38">
        <f t="shared" si="445"/>
        <v>3397.2334798552929</v>
      </c>
      <c r="AW112" s="38">
        <f t="shared" si="445"/>
        <v>2718.0934727939798</v>
      </c>
      <c r="AX112" s="38">
        <f t="shared" si="445"/>
        <v>2512.9671430181925</v>
      </c>
      <c r="AY112" s="37">
        <f t="shared" si="445"/>
        <v>3708.186102027481</v>
      </c>
      <c r="AZ112" s="38">
        <f t="shared" si="445"/>
        <v>3161.7537864076999</v>
      </c>
      <c r="BA112" s="39">
        <f t="shared" si="445"/>
        <v>2981.8107783980377</v>
      </c>
      <c r="BB112" s="38">
        <f t="shared" si="445"/>
        <v>2343.3212202197974</v>
      </c>
      <c r="BC112" s="37">
        <f t="shared" si="445"/>
        <v>3924.1878306559861</v>
      </c>
      <c r="BD112" s="38">
        <f t="shared" si="445"/>
        <v>3231.6354134308276</v>
      </c>
      <c r="BE112" s="39">
        <f t="shared" si="445"/>
        <v>2689.0297261385749</v>
      </c>
      <c r="BF112" s="38"/>
      <c r="BG112" s="37"/>
      <c r="BH112" s="38"/>
      <c r="BI112" s="38"/>
      <c r="BJ112" s="38"/>
      <c r="BK112" s="23"/>
      <c r="BL112" s="42">
        <f t="shared" si="419"/>
        <v>12753.639585527093</v>
      </c>
      <c r="BM112" s="38">
        <f t="shared" si="420"/>
        <v>13865.012669064197</v>
      </c>
      <c r="BN112" s="38">
        <f t="shared" si="421"/>
        <v>12756.623194572745</v>
      </c>
      <c r="BO112" s="38">
        <f t="shared" si="422"/>
        <v>12195.071887053016</v>
      </c>
      <c r="BP112" s="38">
        <f t="shared" si="423"/>
        <v>9844.8529702253891</v>
      </c>
      <c r="BQ112" s="23"/>
      <c r="BR112" s="38">
        <f t="shared" si="424"/>
        <v>12364.71780985141</v>
      </c>
      <c r="BS112" s="43">
        <f t="shared" si="425"/>
        <v>12188.174190445186</v>
      </c>
      <c r="BT112" s="44">
        <f t="shared" si="426"/>
        <v>3188.4098963817733</v>
      </c>
      <c r="BU112" s="44">
        <f t="shared" si="427"/>
        <v>3466.2531672660493</v>
      </c>
      <c r="BV112" s="44">
        <f t="shared" si="428"/>
        <v>3189.1557986431862</v>
      </c>
      <c r="BW112" s="44">
        <f t="shared" si="429"/>
        <v>3048.7679717632541</v>
      </c>
      <c r="BX112" s="44">
        <f t="shared" si="430"/>
        <v>3281.6176567417965</v>
      </c>
      <c r="BY112" s="45">
        <f t="shared" si="431"/>
        <v>3391.561281130706</v>
      </c>
      <c r="BZ112" s="33"/>
      <c r="CA112" s="46">
        <f t="shared" si="432"/>
        <v>-0.16790436354211191</v>
      </c>
      <c r="CB112" s="46">
        <f t="shared" si="433"/>
        <v>-9.8189011315049979E-2</v>
      </c>
      <c r="CC112" s="46">
        <f t="shared" si="434"/>
        <v>-0.2071410470749081</v>
      </c>
      <c r="CD112" s="46">
        <f t="shared" si="435"/>
        <v>-1.4278014437625552E-2</v>
      </c>
      <c r="CE112" s="33"/>
      <c r="CF112" s="46">
        <f t="shared" si="436"/>
        <v>-3.241681788284112E-2</v>
      </c>
      <c r="CG112" s="33"/>
      <c r="CH112" s="46">
        <f t="shared" si="437"/>
        <v>8.7141641104418355E-2</v>
      </c>
      <c r="CI112" s="46">
        <f t="shared" si="437"/>
        <v>-7.9941468568904051E-2</v>
      </c>
      <c r="CJ112" s="46">
        <f t="shared" si="437"/>
        <v>-4.402037270793091E-2</v>
      </c>
      <c r="CK112" s="46">
        <f t="shared" si="437"/>
        <v>-0.19271874234072817</v>
      </c>
    </row>
    <row r="113" spans="2:89" s="8" customFormat="1" hidden="1" outlineLevel="1">
      <c r="O113" s="56"/>
      <c r="P113" s="57"/>
      <c r="Q113" s="57"/>
      <c r="R113" s="57"/>
      <c r="S113" s="56"/>
      <c r="T113" s="57"/>
      <c r="U113" s="57"/>
      <c r="V113" s="57"/>
      <c r="W113" s="56"/>
      <c r="X113" s="57"/>
      <c r="Y113" s="57"/>
      <c r="Z113" s="57"/>
      <c r="AA113" s="56"/>
      <c r="AB113" s="57"/>
      <c r="AC113" s="57"/>
      <c r="AD113" s="57"/>
      <c r="AE113" s="56"/>
      <c r="AF113" s="57"/>
      <c r="AG113" s="57"/>
      <c r="AH113" s="57"/>
      <c r="AI113" s="56"/>
      <c r="AJ113" s="57"/>
      <c r="AK113" s="57"/>
      <c r="AL113" s="57"/>
      <c r="AM113" s="56"/>
      <c r="AN113" s="57"/>
      <c r="AO113" s="57"/>
      <c r="AP113" s="57"/>
      <c r="AQ113" s="56"/>
      <c r="AR113" s="57"/>
      <c r="AS113" s="57"/>
      <c r="AT113" s="57"/>
      <c r="AU113" s="56"/>
      <c r="AV113" s="57"/>
      <c r="AW113" s="57"/>
      <c r="AX113" s="57"/>
      <c r="AY113" s="56"/>
      <c r="AZ113" s="57"/>
      <c r="BA113" s="58"/>
      <c r="BB113" s="57"/>
      <c r="BC113" s="56"/>
      <c r="BD113" s="57"/>
      <c r="BE113" s="57"/>
      <c r="BF113" s="57"/>
      <c r="BG113" s="56"/>
      <c r="BH113" s="57"/>
      <c r="BI113" s="57"/>
      <c r="BJ113" s="57"/>
      <c r="BK113" s="57"/>
      <c r="BL113" s="59"/>
      <c r="BM113" s="57"/>
      <c r="BN113" s="57"/>
      <c r="BO113" s="57"/>
      <c r="BP113" s="57"/>
      <c r="BQ113" s="57"/>
      <c r="BR113" s="57"/>
      <c r="BS113" s="60"/>
      <c r="BT113" s="33"/>
      <c r="BU113" s="33"/>
      <c r="BV113" s="33"/>
      <c r="BW113" s="33"/>
      <c r="BX113" s="33"/>
      <c r="BY113" s="61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</row>
    <row r="114" spans="2:89" collapsed="1">
      <c r="B114" s="14" t="s">
        <v>84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48"/>
      <c r="P114" s="49"/>
      <c r="Q114" s="49"/>
      <c r="R114" s="49"/>
      <c r="S114" s="48"/>
      <c r="T114" s="49"/>
      <c r="U114" s="49"/>
      <c r="V114" s="49"/>
      <c r="W114" s="48"/>
      <c r="X114" s="49"/>
      <c r="Y114" s="49"/>
      <c r="Z114" s="49"/>
      <c r="AA114" s="48"/>
      <c r="AB114" s="49"/>
      <c r="AC114" s="49"/>
      <c r="AD114" s="49"/>
      <c r="AE114" s="48"/>
      <c r="AF114" s="49"/>
      <c r="AG114" s="49"/>
      <c r="AH114" s="49"/>
      <c r="AI114" s="48"/>
      <c r="AJ114" s="49"/>
      <c r="AK114" s="49"/>
      <c r="AL114" s="49"/>
      <c r="AM114" s="48"/>
      <c r="AN114" s="49"/>
      <c r="AO114" s="49"/>
      <c r="AP114" s="49"/>
      <c r="AQ114" s="48"/>
      <c r="AR114" s="49"/>
      <c r="AS114" s="49"/>
      <c r="AT114" s="49"/>
      <c r="AU114" s="48"/>
      <c r="AV114" s="49"/>
      <c r="AW114" s="49"/>
      <c r="AX114" s="49"/>
      <c r="AY114" s="48"/>
      <c r="AZ114" s="49"/>
      <c r="BA114" s="50"/>
      <c r="BB114" s="49"/>
      <c r="BC114" s="48"/>
      <c r="BD114" s="49"/>
      <c r="BE114" s="49"/>
      <c r="BF114" s="49"/>
      <c r="BG114" s="48"/>
      <c r="BH114" s="49"/>
      <c r="BI114" s="49"/>
      <c r="BJ114" s="49"/>
      <c r="BK114" s="49"/>
      <c r="BL114" s="51"/>
      <c r="BM114" s="49"/>
      <c r="BN114" s="49"/>
      <c r="BO114" s="49"/>
      <c r="BP114" s="49"/>
      <c r="BQ114" s="49"/>
      <c r="BR114" s="49"/>
      <c r="BS114" s="52"/>
      <c r="BT114" s="53"/>
      <c r="BU114" s="53"/>
      <c r="BV114" s="53"/>
      <c r="BW114" s="53"/>
      <c r="BX114" s="53"/>
      <c r="BY114" s="54"/>
      <c r="BZ114" s="55"/>
      <c r="CA114" s="53"/>
      <c r="CB114" s="53"/>
      <c r="CC114" s="53"/>
      <c r="CD114" s="53"/>
      <c r="CE114" s="55"/>
      <c r="CF114" s="53"/>
      <c r="CG114" s="55"/>
      <c r="CH114" s="53"/>
      <c r="CI114" s="53"/>
      <c r="CJ114" s="53"/>
      <c r="CK114" s="53"/>
    </row>
    <row r="115" spans="2:89" s="8" customFormat="1">
      <c r="B115" s="8" t="s">
        <v>66</v>
      </c>
      <c r="C115" s="76">
        <f>SUM(O115:R115)</f>
        <v>17922</v>
      </c>
      <c r="D115" s="76">
        <f>SUM(S115:V115)</f>
        <v>28374</v>
      </c>
      <c r="E115" s="76">
        <f>SUM(W115:Z115)</f>
        <v>34774</v>
      </c>
      <c r="F115" s="76">
        <f>SUM(AA115:AD115)</f>
        <v>17129</v>
      </c>
      <c r="G115" s="76">
        <f>SUM(AE115:AH115)</f>
        <v>38127</v>
      </c>
      <c r="H115" s="76">
        <f>SUM(AI115:AL115)</f>
        <v>26407</v>
      </c>
      <c r="I115" s="76">
        <f>SUM(AM115:AP115)</f>
        <v>21079</v>
      </c>
      <c r="J115" s="76">
        <f>SUM(AQ115:AT115)</f>
        <v>23266</v>
      </c>
      <c r="K115" s="76">
        <f>SUM(AU115:AX115)</f>
        <v>21810</v>
      </c>
      <c r="L115" s="76">
        <f>SUM(AY115:BB115)</f>
        <v>21247</v>
      </c>
      <c r="M115" s="76">
        <f>SUM(BC115:BE115)</f>
        <v>17430</v>
      </c>
      <c r="O115" s="22">
        <f t="shared" ref="O115:AH119" si="446">O55+O70+O85</f>
        <v>4932</v>
      </c>
      <c r="P115" s="23">
        <f t="shared" si="446"/>
        <v>3439</v>
      </c>
      <c r="Q115" s="23">
        <f t="shared" si="446"/>
        <v>5234</v>
      </c>
      <c r="R115" s="23">
        <f t="shared" si="446"/>
        <v>4317</v>
      </c>
      <c r="S115" s="22">
        <f t="shared" si="446"/>
        <v>7758</v>
      </c>
      <c r="T115" s="23">
        <f t="shared" si="446"/>
        <v>8338</v>
      </c>
      <c r="U115" s="23">
        <f t="shared" si="446"/>
        <v>5699</v>
      </c>
      <c r="V115" s="23">
        <f t="shared" si="446"/>
        <v>6579</v>
      </c>
      <c r="W115" s="22">
        <f t="shared" si="446"/>
        <v>9407</v>
      </c>
      <c r="X115" s="23">
        <f t="shared" si="446"/>
        <v>7586</v>
      </c>
      <c r="Y115" s="23">
        <f t="shared" si="446"/>
        <v>9863</v>
      </c>
      <c r="Z115" s="23">
        <f t="shared" si="446"/>
        <v>7918</v>
      </c>
      <c r="AA115" s="22">
        <f t="shared" si="446"/>
        <v>6528</v>
      </c>
      <c r="AB115" s="23">
        <f t="shared" si="446"/>
        <v>6751</v>
      </c>
      <c r="AC115" s="23">
        <f t="shared" si="446"/>
        <v>4276</v>
      </c>
      <c r="AD115" s="23">
        <f t="shared" si="446"/>
        <v>-426</v>
      </c>
      <c r="AE115" s="22">
        <f t="shared" si="446"/>
        <v>9581</v>
      </c>
      <c r="AF115" s="23">
        <f t="shared" si="446"/>
        <v>11713</v>
      </c>
      <c r="AG115" s="23">
        <f t="shared" si="446"/>
        <v>9940</v>
      </c>
      <c r="AH115" s="23">
        <f t="shared" si="446"/>
        <v>6893</v>
      </c>
      <c r="AI115" s="22">
        <f>AI55+AI70+AI85</f>
        <v>9603</v>
      </c>
      <c r="AJ115" s="23">
        <f t="shared" ref="AJ115:AL115" si="447">AJ55+AJ70+AJ85</f>
        <v>5532</v>
      </c>
      <c r="AK115" s="23">
        <f t="shared" si="447"/>
        <v>6006</v>
      </c>
      <c r="AL115" s="23">
        <f t="shared" si="447"/>
        <v>5266</v>
      </c>
      <c r="AM115" s="22">
        <f>AM55+AM70+AM85</f>
        <v>7875</v>
      </c>
      <c r="AN115" s="23">
        <f t="shared" ref="AN115:BE119" si="448">AN55+AN70+AN85</f>
        <v>4878</v>
      </c>
      <c r="AO115" s="23">
        <f t="shared" si="448"/>
        <v>4393</v>
      </c>
      <c r="AP115" s="23">
        <f t="shared" si="448"/>
        <v>3933</v>
      </c>
      <c r="AQ115" s="22">
        <f t="shared" si="448"/>
        <v>7087</v>
      </c>
      <c r="AR115" s="23">
        <f t="shared" si="448"/>
        <v>5082</v>
      </c>
      <c r="AS115" s="23">
        <f t="shared" si="448"/>
        <v>5718</v>
      </c>
      <c r="AT115" s="23">
        <f t="shared" si="448"/>
        <v>5379</v>
      </c>
      <c r="AU115" s="22">
        <f t="shared" si="448"/>
        <v>6784</v>
      </c>
      <c r="AV115" s="23">
        <f t="shared" si="448"/>
        <v>5806</v>
      </c>
      <c r="AW115" s="23">
        <f t="shared" si="448"/>
        <v>4101</v>
      </c>
      <c r="AX115" s="23">
        <f t="shared" si="448"/>
        <v>5119</v>
      </c>
      <c r="AY115" s="22">
        <f t="shared" si="448"/>
        <v>6210</v>
      </c>
      <c r="AZ115" s="23">
        <f t="shared" si="448"/>
        <v>5630</v>
      </c>
      <c r="BA115" s="26">
        <f t="shared" si="448"/>
        <v>4900</v>
      </c>
      <c r="BB115" s="23">
        <f t="shared" si="448"/>
        <v>4507</v>
      </c>
      <c r="BC115" s="22">
        <f t="shared" si="448"/>
        <v>7408</v>
      </c>
      <c r="BD115" s="23">
        <f t="shared" si="448"/>
        <v>5435</v>
      </c>
      <c r="BE115" s="23">
        <f t="shared" si="448"/>
        <v>4587</v>
      </c>
      <c r="BF115" s="23"/>
      <c r="BG115" s="22"/>
      <c r="BH115" s="23"/>
      <c r="BI115" s="23"/>
      <c r="BJ115" s="23"/>
      <c r="BK115" s="23"/>
      <c r="BL115" s="29">
        <f t="shared" ref="BL115:BL120" si="449">SUM(AM115:AP115)</f>
        <v>21079</v>
      </c>
      <c r="BM115" s="23">
        <f t="shared" ref="BM115:BM120" si="450">SUM(AQ115:AT115)</f>
        <v>23266</v>
      </c>
      <c r="BN115" s="23">
        <f t="shared" ref="BN115:BN120" si="451">SUM(AU115:AX115)</f>
        <v>21810</v>
      </c>
      <c r="BO115" s="23">
        <f t="shared" ref="BO115:BO120" si="452">SUM(AY115:BB115)</f>
        <v>21247</v>
      </c>
      <c r="BP115" s="23">
        <f t="shared" ref="BP115:BP120" si="453">SUM(BC115:BF115)</f>
        <v>17430</v>
      </c>
      <c r="BQ115" s="23"/>
      <c r="BR115" s="23">
        <f t="shared" ref="BR115:BR120" si="454">SUM(AX115:BA115)</f>
        <v>21859</v>
      </c>
      <c r="BS115" s="30">
        <f t="shared" ref="BS115:BS120" si="455">SUM(BB115:BE115)</f>
        <v>21937</v>
      </c>
      <c r="BT115" s="31">
        <f t="shared" ref="BT115:BT120" si="456">AVERAGE(AM115:AP115)</f>
        <v>5269.75</v>
      </c>
      <c r="BU115" s="31">
        <f t="shared" ref="BU115:BU120" si="457">AVERAGE(AQ115:AT115)</f>
        <v>5816.5</v>
      </c>
      <c r="BV115" s="31">
        <f t="shared" ref="BV115:BV120" si="458">AVERAGE(AU115:AX115)</f>
        <v>5452.5</v>
      </c>
      <c r="BW115" s="31">
        <f t="shared" ref="BW115:BW120" si="459">AVERAGE(AY115:BB115)</f>
        <v>5311.75</v>
      </c>
      <c r="BX115" s="31">
        <f t="shared" ref="BX115:BX120" si="460">AVERAGE(BC115:BF115)</f>
        <v>5810</v>
      </c>
      <c r="BY115" s="32">
        <f t="shared" ref="BY115:BY120" si="461">AVERAGE(AI115:BD115)</f>
        <v>5756.909090909091</v>
      </c>
      <c r="BZ115" s="33"/>
      <c r="CA115" s="34">
        <f t="shared" ref="CA115:CA120" si="462">BE115/BD115-1</f>
        <v>-0.15602575896964122</v>
      </c>
      <c r="CB115" s="34">
        <f t="shared" ref="CB115:CB120" si="463">BE115/BA115-1</f>
        <v>-6.3877551020408152E-2</v>
      </c>
      <c r="CC115" s="34">
        <f t="shared" ref="CC115:CC120" si="464">BE115/BY115-1</f>
        <v>-0.20321826737832804</v>
      </c>
      <c r="CD115" s="34">
        <f t="shared" ref="CD115:CD120" si="465">BS115/BR115-1</f>
        <v>3.5683242600301757E-3</v>
      </c>
      <c r="CE115" s="33"/>
      <c r="CF115" s="34">
        <f t="shared" ref="CF115:CF120" si="466">BX115/BY115-1</f>
        <v>9.2221204560527514E-3</v>
      </c>
      <c r="CG115" s="33"/>
      <c r="CH115" s="34">
        <f t="shared" ref="CH115:CK120" si="467">BM115/BL115-1</f>
        <v>0.10375254993121108</v>
      </c>
      <c r="CI115" s="34">
        <f t="shared" si="467"/>
        <v>-6.2580589701710654E-2</v>
      </c>
      <c r="CJ115" s="34">
        <f t="shared" si="467"/>
        <v>-2.5813846859238931E-2</v>
      </c>
      <c r="CK115" s="34">
        <f t="shared" si="467"/>
        <v>-0.17964889160822706</v>
      </c>
    </row>
    <row r="116" spans="2:89" s="8" customFormat="1">
      <c r="B116" s="8" t="s">
        <v>67</v>
      </c>
      <c r="C116" s="76">
        <f t="shared" ref="C116:C119" si="468">SUM(O116:R116)</f>
        <v>15063</v>
      </c>
      <c r="D116" s="76">
        <f t="shared" ref="D116:D119" si="469">SUM(S116:V116)</f>
        <v>19800</v>
      </c>
      <c r="E116" s="76">
        <f t="shared" ref="E116:E119" si="470">SUM(W116:Z116)</f>
        <v>13716</v>
      </c>
      <c r="F116" s="76">
        <f t="shared" ref="F116:F119" si="471">SUM(AA116:AD116)</f>
        <v>9664</v>
      </c>
      <c r="G116" s="76">
        <f t="shared" ref="G116:G119" si="472">SUM(AE116:AH116)</f>
        <v>15530</v>
      </c>
      <c r="H116" s="76">
        <f t="shared" ref="H116:H119" si="473">SUM(AI116:AL116)</f>
        <v>15833</v>
      </c>
      <c r="I116" s="76">
        <f t="shared" ref="I116:I119" si="474">SUM(AM116:AP116)</f>
        <v>15966</v>
      </c>
      <c r="J116" s="76">
        <f t="shared" ref="J116:J119" si="475">SUM(AQ116:AT116)</f>
        <v>15397</v>
      </c>
      <c r="K116" s="76">
        <f t="shared" ref="K116:K119" si="476">SUM(AU116:AX116)</f>
        <v>15187</v>
      </c>
      <c r="L116" s="76">
        <f t="shared" ref="L116:L119" si="477">SUM(AY116:BB116)</f>
        <v>16367</v>
      </c>
      <c r="M116" s="76">
        <f t="shared" ref="M116:M119" si="478">SUM(BC116:BE116)</f>
        <v>13854</v>
      </c>
      <c r="O116" s="22">
        <f t="shared" si="446"/>
        <v>3954</v>
      </c>
      <c r="P116" s="23">
        <f t="shared" si="446"/>
        <v>3065</v>
      </c>
      <c r="Q116" s="23">
        <f t="shared" si="446"/>
        <v>4142</v>
      </c>
      <c r="R116" s="23">
        <f t="shared" si="446"/>
        <v>3902</v>
      </c>
      <c r="S116" s="22">
        <f t="shared" si="446"/>
        <v>5199</v>
      </c>
      <c r="T116" s="23">
        <f t="shared" si="446"/>
        <v>4835</v>
      </c>
      <c r="U116" s="23">
        <f t="shared" si="446"/>
        <v>4769</v>
      </c>
      <c r="V116" s="23">
        <f t="shared" si="446"/>
        <v>4997</v>
      </c>
      <c r="W116" s="22">
        <f t="shared" si="446"/>
        <v>6671</v>
      </c>
      <c r="X116" s="23">
        <f t="shared" si="446"/>
        <v>6816</v>
      </c>
      <c r="Y116" s="23">
        <f t="shared" si="446"/>
        <v>5107</v>
      </c>
      <c r="Z116" s="23">
        <f t="shared" si="446"/>
        <v>-4878</v>
      </c>
      <c r="AA116" s="22">
        <f t="shared" si="446"/>
        <v>5830</v>
      </c>
      <c r="AB116" s="23">
        <f t="shared" si="446"/>
        <v>4102</v>
      </c>
      <c r="AC116" s="23">
        <f t="shared" si="446"/>
        <v>14364</v>
      </c>
      <c r="AD116" s="23">
        <f t="shared" si="446"/>
        <v>-14632</v>
      </c>
      <c r="AE116" s="22">
        <f t="shared" si="446"/>
        <v>2482</v>
      </c>
      <c r="AF116" s="23">
        <f t="shared" si="446"/>
        <v>4903</v>
      </c>
      <c r="AG116" s="23">
        <f t="shared" si="446"/>
        <v>4985</v>
      </c>
      <c r="AH116" s="23">
        <f t="shared" si="446"/>
        <v>3160</v>
      </c>
      <c r="AI116" s="22">
        <f t="shared" ref="AI116:AT119" si="479">AI56+AI71+AI86</f>
        <v>4973</v>
      </c>
      <c r="AJ116" s="23">
        <f t="shared" si="479"/>
        <v>3901</v>
      </c>
      <c r="AK116" s="23">
        <f t="shared" si="479"/>
        <v>3440</v>
      </c>
      <c r="AL116" s="23">
        <f t="shared" si="479"/>
        <v>3519</v>
      </c>
      <c r="AM116" s="22">
        <f t="shared" si="479"/>
        <v>4676</v>
      </c>
      <c r="AN116" s="23">
        <f t="shared" si="479"/>
        <v>5180</v>
      </c>
      <c r="AO116" s="23">
        <f t="shared" si="479"/>
        <v>3304</v>
      </c>
      <c r="AP116" s="23">
        <f t="shared" si="479"/>
        <v>2806</v>
      </c>
      <c r="AQ116" s="22">
        <f t="shared" si="479"/>
        <v>5397</v>
      </c>
      <c r="AR116" s="23">
        <f t="shared" si="479"/>
        <v>2907</v>
      </c>
      <c r="AS116" s="23">
        <f t="shared" si="479"/>
        <v>3655</v>
      </c>
      <c r="AT116" s="24">
        <f t="shared" si="479"/>
        <v>3438</v>
      </c>
      <c r="AU116" s="22">
        <f t="shared" si="448"/>
        <v>4054</v>
      </c>
      <c r="AV116" s="23">
        <f t="shared" si="448"/>
        <v>4037</v>
      </c>
      <c r="AW116" s="23">
        <f t="shared" si="448"/>
        <v>3537</v>
      </c>
      <c r="AX116" s="23">
        <f t="shared" si="448"/>
        <v>3559</v>
      </c>
      <c r="AY116" s="22">
        <f t="shared" si="448"/>
        <v>4495</v>
      </c>
      <c r="AZ116" s="23">
        <f t="shared" si="448"/>
        <v>4232</v>
      </c>
      <c r="BA116" s="26">
        <f t="shared" si="448"/>
        <v>4121</v>
      </c>
      <c r="BB116" s="23">
        <f t="shared" si="448"/>
        <v>3519</v>
      </c>
      <c r="BC116" s="22">
        <f t="shared" si="448"/>
        <v>5344</v>
      </c>
      <c r="BD116" s="23">
        <f t="shared" si="448"/>
        <v>4977</v>
      </c>
      <c r="BE116" s="23">
        <f t="shared" si="448"/>
        <v>3533</v>
      </c>
      <c r="BF116" s="23"/>
      <c r="BG116" s="22"/>
      <c r="BH116" s="23"/>
      <c r="BI116" s="23"/>
      <c r="BJ116" s="23"/>
      <c r="BK116" s="23"/>
      <c r="BL116" s="29">
        <f t="shared" si="449"/>
        <v>15966</v>
      </c>
      <c r="BM116" s="23">
        <f t="shared" si="450"/>
        <v>15397</v>
      </c>
      <c r="BN116" s="23">
        <f t="shared" si="451"/>
        <v>15187</v>
      </c>
      <c r="BO116" s="23">
        <f t="shared" si="452"/>
        <v>16367</v>
      </c>
      <c r="BP116" s="23">
        <f t="shared" si="453"/>
        <v>13854</v>
      </c>
      <c r="BQ116" s="23"/>
      <c r="BR116" s="23">
        <f t="shared" si="454"/>
        <v>16407</v>
      </c>
      <c r="BS116" s="30">
        <f t="shared" si="455"/>
        <v>17373</v>
      </c>
      <c r="BT116" s="31">
        <f t="shared" si="456"/>
        <v>3991.5</v>
      </c>
      <c r="BU116" s="31">
        <f t="shared" si="457"/>
        <v>3849.25</v>
      </c>
      <c r="BV116" s="31">
        <f t="shared" si="458"/>
        <v>3796.75</v>
      </c>
      <c r="BW116" s="31">
        <f t="shared" si="459"/>
        <v>4091.75</v>
      </c>
      <c r="BX116" s="31">
        <f t="shared" si="460"/>
        <v>4618</v>
      </c>
      <c r="BY116" s="32">
        <f t="shared" si="461"/>
        <v>4048.681818181818</v>
      </c>
      <c r="BZ116" s="33"/>
      <c r="CA116" s="34">
        <f t="shared" si="462"/>
        <v>-0.29013461924854334</v>
      </c>
      <c r="CB116" s="34">
        <f t="shared" si="463"/>
        <v>-0.14268381460810486</v>
      </c>
      <c r="CC116" s="34">
        <f t="shared" si="464"/>
        <v>-0.1273703000976748</v>
      </c>
      <c r="CD116" s="34">
        <f t="shared" si="465"/>
        <v>5.887730846589867E-2</v>
      </c>
      <c r="CE116" s="33"/>
      <c r="CF116" s="34">
        <f t="shared" si="466"/>
        <v>0.14061815854767556</v>
      </c>
      <c r="CG116" s="33"/>
      <c r="CH116" s="34">
        <f t="shared" si="467"/>
        <v>-3.5638231241387985E-2</v>
      </c>
      <c r="CI116" s="34">
        <f t="shared" si="467"/>
        <v>-1.3639020588426365E-2</v>
      </c>
      <c r="CJ116" s="34">
        <f t="shared" si="467"/>
        <v>7.7698031210904128E-2</v>
      </c>
      <c r="CK116" s="34">
        <f t="shared" si="467"/>
        <v>-0.15354066108633224</v>
      </c>
    </row>
    <row r="117" spans="2:89" s="8" customFormat="1">
      <c r="B117" s="8" t="s">
        <v>68</v>
      </c>
      <c r="C117" s="76">
        <f t="shared" si="468"/>
        <v>20686</v>
      </c>
      <c r="D117" s="76">
        <f t="shared" si="469"/>
        <v>27118</v>
      </c>
      <c r="E117" s="76">
        <f t="shared" si="470"/>
        <v>-3462</v>
      </c>
      <c r="F117" s="76">
        <f t="shared" si="471"/>
        <v>-34601</v>
      </c>
      <c r="G117" s="76">
        <f t="shared" si="472"/>
        <v>29779</v>
      </c>
      <c r="H117" s="76">
        <f t="shared" si="473"/>
        <v>22258</v>
      </c>
      <c r="I117" s="76">
        <f t="shared" si="474"/>
        <v>17430</v>
      </c>
      <c r="J117" s="76">
        <f t="shared" si="475"/>
        <v>19729</v>
      </c>
      <c r="K117" s="76">
        <f t="shared" si="476"/>
        <v>19757</v>
      </c>
      <c r="L117" s="76">
        <f t="shared" si="477"/>
        <v>19448</v>
      </c>
      <c r="M117" s="76">
        <f t="shared" si="478"/>
        <v>14859</v>
      </c>
      <c r="O117" s="22">
        <f t="shared" si="446"/>
        <v>5187</v>
      </c>
      <c r="P117" s="23">
        <f t="shared" si="446"/>
        <v>4978</v>
      </c>
      <c r="Q117" s="23">
        <f t="shared" si="446"/>
        <v>5492</v>
      </c>
      <c r="R117" s="23">
        <f t="shared" si="446"/>
        <v>5029</v>
      </c>
      <c r="S117" s="22">
        <f t="shared" si="446"/>
        <v>6762</v>
      </c>
      <c r="T117" s="23">
        <f t="shared" si="446"/>
        <v>6742</v>
      </c>
      <c r="U117" s="23">
        <f t="shared" si="446"/>
        <v>6346</v>
      </c>
      <c r="V117" s="23">
        <f t="shared" si="446"/>
        <v>7268</v>
      </c>
      <c r="W117" s="22">
        <f t="shared" si="446"/>
        <v>9205</v>
      </c>
      <c r="X117" s="23">
        <f t="shared" si="446"/>
        <v>8899</v>
      </c>
      <c r="Y117" s="23">
        <f t="shared" si="446"/>
        <v>-3918</v>
      </c>
      <c r="Z117" s="23">
        <f t="shared" si="446"/>
        <v>-17648</v>
      </c>
      <c r="AA117" s="22">
        <f t="shared" si="446"/>
        <v>-3618</v>
      </c>
      <c r="AB117" s="23">
        <f t="shared" si="446"/>
        <v>-3823</v>
      </c>
      <c r="AC117" s="23">
        <f t="shared" si="446"/>
        <v>-5396.0000000000027</v>
      </c>
      <c r="AD117" s="23">
        <f t="shared" si="446"/>
        <v>-21764</v>
      </c>
      <c r="AE117" s="22">
        <f t="shared" si="446"/>
        <v>9098</v>
      </c>
      <c r="AF117" s="23">
        <f t="shared" si="446"/>
        <v>8524</v>
      </c>
      <c r="AG117" s="23">
        <f t="shared" si="446"/>
        <v>7099</v>
      </c>
      <c r="AH117" s="23">
        <f t="shared" si="446"/>
        <v>5058</v>
      </c>
      <c r="AI117" s="22">
        <f t="shared" si="479"/>
        <v>8217</v>
      </c>
      <c r="AJ117" s="23">
        <f t="shared" si="479"/>
        <v>4515</v>
      </c>
      <c r="AK117" s="23">
        <f t="shared" si="479"/>
        <v>5520</v>
      </c>
      <c r="AL117" s="23">
        <f t="shared" si="479"/>
        <v>4006</v>
      </c>
      <c r="AM117" s="22">
        <f t="shared" si="479"/>
        <v>6599</v>
      </c>
      <c r="AN117" s="23">
        <f t="shared" si="479"/>
        <v>5339</v>
      </c>
      <c r="AO117" s="23">
        <f t="shared" si="479"/>
        <v>2410</v>
      </c>
      <c r="AP117" s="23">
        <f t="shared" si="479"/>
        <v>3082</v>
      </c>
      <c r="AQ117" s="22">
        <f t="shared" si="479"/>
        <v>6472</v>
      </c>
      <c r="AR117" s="23">
        <f t="shared" si="479"/>
        <v>4513</v>
      </c>
      <c r="AS117" s="23">
        <f t="shared" si="479"/>
        <v>4614</v>
      </c>
      <c r="AT117" s="23">
        <f t="shared" si="479"/>
        <v>4130</v>
      </c>
      <c r="AU117" s="22">
        <f t="shared" si="448"/>
        <v>5752</v>
      </c>
      <c r="AV117" s="23">
        <f>AV57+AV72+AV87</f>
        <v>5052</v>
      </c>
      <c r="AW117" s="23">
        <f>AW57+AW72+AW87</f>
        <v>4391</v>
      </c>
      <c r="AX117" s="23">
        <f>AX57+AX72+AX87</f>
        <v>4562</v>
      </c>
      <c r="AY117" s="22">
        <f>AY57+AY72+AY87</f>
        <v>5723</v>
      </c>
      <c r="AZ117" s="23">
        <f>AZ57+AZ72+AZ87</f>
        <v>5077</v>
      </c>
      <c r="BA117" s="26">
        <f t="shared" si="448"/>
        <v>4702</v>
      </c>
      <c r="BB117" s="23">
        <f t="shared" si="448"/>
        <v>3946</v>
      </c>
      <c r="BC117" s="22">
        <f t="shared" si="448"/>
        <v>5456</v>
      </c>
      <c r="BD117" s="23">
        <f t="shared" si="448"/>
        <v>4913</v>
      </c>
      <c r="BE117" s="23">
        <f t="shared" si="448"/>
        <v>4490</v>
      </c>
      <c r="BF117" s="23"/>
      <c r="BG117" s="22"/>
      <c r="BH117" s="23"/>
      <c r="BI117" s="23"/>
      <c r="BJ117" s="23"/>
      <c r="BK117" s="23"/>
      <c r="BL117" s="29">
        <f t="shared" si="449"/>
        <v>17430</v>
      </c>
      <c r="BM117" s="23">
        <f t="shared" si="450"/>
        <v>19729</v>
      </c>
      <c r="BN117" s="23">
        <f t="shared" si="451"/>
        <v>19757</v>
      </c>
      <c r="BO117" s="23">
        <f t="shared" si="452"/>
        <v>19448</v>
      </c>
      <c r="BP117" s="23">
        <f t="shared" si="453"/>
        <v>14859</v>
      </c>
      <c r="BQ117" s="23"/>
      <c r="BR117" s="23">
        <f t="shared" si="454"/>
        <v>20064</v>
      </c>
      <c r="BS117" s="30">
        <f t="shared" si="455"/>
        <v>18805</v>
      </c>
      <c r="BT117" s="31">
        <f t="shared" si="456"/>
        <v>4357.5</v>
      </c>
      <c r="BU117" s="31">
        <f t="shared" si="457"/>
        <v>4932.25</v>
      </c>
      <c r="BV117" s="31">
        <f t="shared" si="458"/>
        <v>4939.25</v>
      </c>
      <c r="BW117" s="31">
        <f t="shared" si="459"/>
        <v>4862</v>
      </c>
      <c r="BX117" s="31">
        <f t="shared" si="460"/>
        <v>4953</v>
      </c>
      <c r="BY117" s="32">
        <f t="shared" si="461"/>
        <v>4954.136363636364</v>
      </c>
      <c r="BZ117" s="33"/>
      <c r="CA117" s="34">
        <f t="shared" si="462"/>
        <v>-8.6098107062894336E-2</v>
      </c>
      <c r="CB117" s="34">
        <f t="shared" si="463"/>
        <v>-4.5087196937473428E-2</v>
      </c>
      <c r="CC117" s="34">
        <f t="shared" si="464"/>
        <v>-9.3686634676257707E-2</v>
      </c>
      <c r="CD117" s="34">
        <f t="shared" si="465"/>
        <v>-6.2749202551834138E-2</v>
      </c>
      <c r="CE117" s="33"/>
      <c r="CF117" s="34">
        <f t="shared" si="466"/>
        <v>-2.2937673752887466E-4</v>
      </c>
      <c r="CG117" s="33"/>
      <c r="CH117" s="34">
        <f t="shared" si="467"/>
        <v>0.13189902467010906</v>
      </c>
      <c r="CI117" s="34">
        <f t="shared" si="467"/>
        <v>1.4192305742815048E-3</v>
      </c>
      <c r="CJ117" s="34">
        <f t="shared" si="467"/>
        <v>-1.5640026319785338E-2</v>
      </c>
      <c r="CK117" s="34">
        <f t="shared" si="467"/>
        <v>-0.23596256684491979</v>
      </c>
    </row>
    <row r="118" spans="2:89" s="8" customFormat="1">
      <c r="B118" s="8" t="s">
        <v>69</v>
      </c>
      <c r="C118" s="76">
        <f t="shared" si="468"/>
        <v>17172</v>
      </c>
      <c r="D118" s="76">
        <f t="shared" si="469"/>
        <v>23661</v>
      </c>
      <c r="E118" s="76">
        <f t="shared" si="470"/>
        <v>3122</v>
      </c>
      <c r="F118" s="76">
        <f t="shared" si="471"/>
        <v>-22825.999999999996</v>
      </c>
      <c r="G118" s="76">
        <f t="shared" si="472"/>
        <v>31423</v>
      </c>
      <c r="H118" s="76">
        <f t="shared" si="473"/>
        <v>21800</v>
      </c>
      <c r="I118" s="76">
        <f t="shared" si="474"/>
        <v>16603</v>
      </c>
      <c r="J118" s="76">
        <f t="shared" si="475"/>
        <v>20254</v>
      </c>
      <c r="K118" s="76">
        <f t="shared" si="476"/>
        <v>20430</v>
      </c>
      <c r="L118" s="76">
        <f t="shared" si="477"/>
        <v>19629</v>
      </c>
      <c r="M118" s="76">
        <f t="shared" si="478"/>
        <v>14922</v>
      </c>
      <c r="O118" s="22">
        <f t="shared" si="446"/>
        <v>4648</v>
      </c>
      <c r="P118" s="23">
        <f t="shared" si="446"/>
        <v>3587</v>
      </c>
      <c r="Q118" s="23">
        <f t="shared" si="446"/>
        <v>4841</v>
      </c>
      <c r="R118" s="23">
        <f t="shared" si="446"/>
        <v>4096</v>
      </c>
      <c r="S118" s="22">
        <f t="shared" si="446"/>
        <v>6470</v>
      </c>
      <c r="T118" s="23">
        <f t="shared" si="446"/>
        <v>5703</v>
      </c>
      <c r="U118" s="23">
        <f t="shared" si="446"/>
        <v>4866</v>
      </c>
      <c r="V118" s="23">
        <f t="shared" si="446"/>
        <v>6622</v>
      </c>
      <c r="W118" s="22">
        <f t="shared" si="446"/>
        <v>7699</v>
      </c>
      <c r="X118" s="23">
        <f t="shared" si="446"/>
        <v>7882</v>
      </c>
      <c r="Y118" s="23">
        <f t="shared" si="446"/>
        <v>2214</v>
      </c>
      <c r="Z118" s="23">
        <f t="shared" si="446"/>
        <v>-14673</v>
      </c>
      <c r="AA118" s="22">
        <f t="shared" si="446"/>
        <v>-6493</v>
      </c>
      <c r="AB118" s="23">
        <f t="shared" si="446"/>
        <v>2024</v>
      </c>
      <c r="AC118" s="23">
        <f t="shared" si="446"/>
        <v>-2825.9999999999968</v>
      </c>
      <c r="AD118" s="23">
        <f t="shared" si="446"/>
        <v>-15531</v>
      </c>
      <c r="AE118" s="22">
        <f t="shared" si="446"/>
        <v>9988</v>
      </c>
      <c r="AF118" s="23">
        <f t="shared" si="446"/>
        <v>8733</v>
      </c>
      <c r="AG118" s="23">
        <f t="shared" si="446"/>
        <v>7353</v>
      </c>
      <c r="AH118" s="23">
        <f t="shared" si="446"/>
        <v>5349</v>
      </c>
      <c r="AI118" s="22">
        <f t="shared" si="479"/>
        <v>7363</v>
      </c>
      <c r="AJ118" s="23">
        <f t="shared" si="479"/>
        <v>4782</v>
      </c>
      <c r="AK118" s="23">
        <f t="shared" si="479"/>
        <v>5377</v>
      </c>
      <c r="AL118" s="23">
        <f t="shared" si="479"/>
        <v>4278</v>
      </c>
      <c r="AM118" s="22">
        <f t="shared" si="479"/>
        <v>5937</v>
      </c>
      <c r="AN118" s="23">
        <f t="shared" si="479"/>
        <v>4783</v>
      </c>
      <c r="AO118" s="23">
        <f t="shared" si="479"/>
        <v>3296</v>
      </c>
      <c r="AP118" s="23">
        <f t="shared" si="479"/>
        <v>2587</v>
      </c>
      <c r="AQ118" s="22">
        <f t="shared" si="479"/>
        <v>6569</v>
      </c>
      <c r="AR118" s="23">
        <f t="shared" si="479"/>
        <v>4282</v>
      </c>
      <c r="AS118" s="23">
        <f t="shared" si="479"/>
        <v>5194</v>
      </c>
      <c r="AT118" s="23">
        <f t="shared" si="479"/>
        <v>4209</v>
      </c>
      <c r="AU118" s="22">
        <f t="shared" si="448"/>
        <v>6512</v>
      </c>
      <c r="AV118" s="23">
        <f t="shared" si="448"/>
        <v>5463</v>
      </c>
      <c r="AW118" s="23">
        <f t="shared" si="448"/>
        <v>4450</v>
      </c>
      <c r="AX118" s="23">
        <f t="shared" si="448"/>
        <v>4005</v>
      </c>
      <c r="AY118" s="22">
        <f t="shared" si="448"/>
        <v>5864</v>
      </c>
      <c r="AZ118" s="23">
        <f t="shared" si="448"/>
        <v>5078</v>
      </c>
      <c r="BA118" s="26">
        <f t="shared" si="448"/>
        <v>5076</v>
      </c>
      <c r="BB118" s="23">
        <f t="shared" si="448"/>
        <v>3611</v>
      </c>
      <c r="BC118" s="22">
        <f t="shared" si="448"/>
        <v>5554</v>
      </c>
      <c r="BD118" s="23">
        <f t="shared" si="448"/>
        <v>4998</v>
      </c>
      <c r="BE118" s="23">
        <f t="shared" si="448"/>
        <v>4370</v>
      </c>
      <c r="BF118" s="23"/>
      <c r="BG118" s="22"/>
      <c r="BH118" s="23"/>
      <c r="BI118" s="23"/>
      <c r="BJ118" s="23"/>
      <c r="BK118" s="23"/>
      <c r="BL118" s="29">
        <f t="shared" si="449"/>
        <v>16603</v>
      </c>
      <c r="BM118" s="23">
        <f t="shared" si="450"/>
        <v>20254</v>
      </c>
      <c r="BN118" s="23">
        <f t="shared" si="451"/>
        <v>20430</v>
      </c>
      <c r="BO118" s="23">
        <f t="shared" si="452"/>
        <v>19629</v>
      </c>
      <c r="BP118" s="23">
        <f t="shared" si="453"/>
        <v>14922</v>
      </c>
      <c r="BQ118" s="23"/>
      <c r="BR118" s="23">
        <f t="shared" si="454"/>
        <v>20023</v>
      </c>
      <c r="BS118" s="30">
        <f t="shared" si="455"/>
        <v>18533</v>
      </c>
      <c r="BT118" s="31">
        <f t="shared" si="456"/>
        <v>4150.75</v>
      </c>
      <c r="BU118" s="31">
        <f t="shared" si="457"/>
        <v>5063.5</v>
      </c>
      <c r="BV118" s="31">
        <f t="shared" si="458"/>
        <v>5107.5</v>
      </c>
      <c r="BW118" s="31">
        <f t="shared" si="459"/>
        <v>4907.25</v>
      </c>
      <c r="BX118" s="31">
        <f t="shared" si="460"/>
        <v>4974</v>
      </c>
      <c r="BY118" s="32">
        <f t="shared" si="461"/>
        <v>4966.727272727273</v>
      </c>
      <c r="BZ118" s="33"/>
      <c r="CA118" s="34">
        <f t="shared" si="462"/>
        <v>-0.12565026010404157</v>
      </c>
      <c r="CB118" s="34">
        <f t="shared" si="463"/>
        <v>-0.13908589440504338</v>
      </c>
      <c r="CC118" s="34">
        <f t="shared" si="464"/>
        <v>-0.12014496467401259</v>
      </c>
      <c r="CD118" s="34">
        <f t="shared" si="465"/>
        <v>-7.4414423413074915E-2</v>
      </c>
      <c r="CE118" s="33"/>
      <c r="CF118" s="34">
        <f t="shared" si="466"/>
        <v>1.4642896364900349E-3</v>
      </c>
      <c r="CG118" s="33"/>
      <c r="CH118" s="34">
        <f t="shared" si="467"/>
        <v>0.2199000180690236</v>
      </c>
      <c r="CI118" s="34">
        <f t="shared" si="467"/>
        <v>8.6896415522859094E-3</v>
      </c>
      <c r="CJ118" s="34">
        <f t="shared" si="467"/>
        <v>-3.9207048458149818E-2</v>
      </c>
      <c r="CK118" s="34">
        <f t="shared" si="467"/>
        <v>-0.23979825767996332</v>
      </c>
    </row>
    <row r="119" spans="2:89" s="8" customFormat="1">
      <c r="B119" s="8" t="s">
        <v>70</v>
      </c>
      <c r="C119" s="76">
        <f t="shared" si="468"/>
        <v>18753.029000000002</v>
      </c>
      <c r="D119" s="76">
        <f t="shared" si="469"/>
        <v>24416.936000000002</v>
      </c>
      <c r="E119" s="76">
        <f t="shared" si="470"/>
        <v>20326.783999999996</v>
      </c>
      <c r="F119" s="76">
        <f t="shared" si="471"/>
        <v>11254</v>
      </c>
      <c r="G119" s="76">
        <f t="shared" si="472"/>
        <v>32445</v>
      </c>
      <c r="H119" s="76">
        <f t="shared" si="473"/>
        <v>25506</v>
      </c>
      <c r="I119" s="76">
        <f t="shared" si="474"/>
        <v>25122</v>
      </c>
      <c r="J119" s="76">
        <f t="shared" si="475"/>
        <v>25587</v>
      </c>
      <c r="K119" s="76">
        <f t="shared" si="476"/>
        <v>26649</v>
      </c>
      <c r="L119" s="76">
        <f t="shared" si="477"/>
        <v>25142.666666666664</v>
      </c>
      <c r="M119" s="76">
        <f t="shared" si="478"/>
        <v>19846</v>
      </c>
      <c r="O119" s="22">
        <f t="shared" si="446"/>
        <v>5277.4740000000002</v>
      </c>
      <c r="P119" s="23">
        <f t="shared" si="446"/>
        <v>3868.7329999999997</v>
      </c>
      <c r="Q119" s="23">
        <f t="shared" si="446"/>
        <v>5434.6610000000001</v>
      </c>
      <c r="R119" s="23">
        <f t="shared" si="446"/>
        <v>4172.1610000000001</v>
      </c>
      <c r="S119" s="22">
        <f t="shared" si="446"/>
        <v>6021.6239999999998</v>
      </c>
      <c r="T119" s="23">
        <f t="shared" si="446"/>
        <v>6038.6870000000008</v>
      </c>
      <c r="U119" s="23">
        <f t="shared" si="446"/>
        <v>6090.6039999999994</v>
      </c>
      <c r="V119" s="23">
        <f t="shared" si="446"/>
        <v>6266.0209999999997</v>
      </c>
      <c r="W119" s="22">
        <f t="shared" si="446"/>
        <v>7838.2610000000004</v>
      </c>
      <c r="X119" s="23">
        <f t="shared" si="446"/>
        <v>7484.6399999999994</v>
      </c>
      <c r="Y119" s="23">
        <f t="shared" si="446"/>
        <v>3243.4259999999995</v>
      </c>
      <c r="Z119" s="23">
        <f t="shared" si="446"/>
        <v>1760.4569999999999</v>
      </c>
      <c r="AA119" s="22">
        <f t="shared" si="446"/>
        <v>2792</v>
      </c>
      <c r="AB119" s="23">
        <f t="shared" si="446"/>
        <v>4847</v>
      </c>
      <c r="AC119" s="23">
        <f t="shared" si="446"/>
        <v>3286</v>
      </c>
      <c r="AD119" s="23">
        <f t="shared" si="446"/>
        <v>329</v>
      </c>
      <c r="AE119" s="22">
        <f t="shared" si="446"/>
        <v>8329</v>
      </c>
      <c r="AF119" s="23">
        <f t="shared" si="446"/>
        <v>8975</v>
      </c>
      <c r="AG119" s="23">
        <f t="shared" si="446"/>
        <v>8050</v>
      </c>
      <c r="AH119" s="23">
        <f t="shared" si="446"/>
        <v>7091</v>
      </c>
      <c r="AI119" s="22">
        <f t="shared" si="479"/>
        <v>8264</v>
      </c>
      <c r="AJ119" s="23">
        <f t="shared" si="479"/>
        <v>5418</v>
      </c>
      <c r="AK119" s="23">
        <f t="shared" si="479"/>
        <v>6005</v>
      </c>
      <c r="AL119" s="23">
        <f t="shared" si="479"/>
        <v>5819</v>
      </c>
      <c r="AM119" s="22">
        <f t="shared" si="479"/>
        <v>8403</v>
      </c>
      <c r="AN119" s="23">
        <f t="shared" si="479"/>
        <v>7283</v>
      </c>
      <c r="AO119" s="23">
        <f t="shared" si="479"/>
        <v>4885</v>
      </c>
      <c r="AP119" s="23">
        <f t="shared" si="479"/>
        <v>4551</v>
      </c>
      <c r="AQ119" s="22">
        <f t="shared" si="479"/>
        <v>7815</v>
      </c>
      <c r="AR119" s="23">
        <f t="shared" si="479"/>
        <v>5781</v>
      </c>
      <c r="AS119" s="23">
        <f t="shared" si="479"/>
        <v>6199</v>
      </c>
      <c r="AT119" s="23">
        <f t="shared" si="479"/>
        <v>5792</v>
      </c>
      <c r="AU119" s="22">
        <f t="shared" si="448"/>
        <v>7525</v>
      </c>
      <c r="AV119" s="23">
        <f t="shared" si="448"/>
        <v>7091</v>
      </c>
      <c r="AW119" s="23">
        <f t="shared" si="448"/>
        <v>6198</v>
      </c>
      <c r="AX119" s="23">
        <f t="shared" si="448"/>
        <v>5835</v>
      </c>
      <c r="AY119" s="22">
        <f>AY59+AY74+AY89</f>
        <v>6648</v>
      </c>
      <c r="AZ119" s="23">
        <f>AZ59+AZ74+AZ89</f>
        <v>6272.6666666666661</v>
      </c>
      <c r="BA119" s="26">
        <f>BA59+BA74+BA89</f>
        <v>6615</v>
      </c>
      <c r="BB119" s="23">
        <f>BB59+BB74+BB89</f>
        <v>5607</v>
      </c>
      <c r="BC119" s="22">
        <f>BC59+BC74+BC89</f>
        <v>7566</v>
      </c>
      <c r="BD119" s="23">
        <f t="shared" si="448"/>
        <v>6332</v>
      </c>
      <c r="BE119" s="23">
        <f t="shared" si="448"/>
        <v>5948</v>
      </c>
      <c r="BF119" s="23"/>
      <c r="BG119" s="22"/>
      <c r="BH119" s="23"/>
      <c r="BI119" s="23"/>
      <c r="BJ119" s="23"/>
      <c r="BK119" s="23"/>
      <c r="BL119" s="29">
        <f t="shared" si="449"/>
        <v>25122</v>
      </c>
      <c r="BM119" s="23">
        <f t="shared" si="450"/>
        <v>25587</v>
      </c>
      <c r="BN119" s="23">
        <f t="shared" si="451"/>
        <v>26649</v>
      </c>
      <c r="BO119" s="23">
        <f t="shared" si="452"/>
        <v>25142.666666666664</v>
      </c>
      <c r="BP119" s="23">
        <f t="shared" si="453"/>
        <v>19846</v>
      </c>
      <c r="BQ119" s="23"/>
      <c r="BR119" s="23">
        <f t="shared" si="454"/>
        <v>25370.666666666664</v>
      </c>
      <c r="BS119" s="30">
        <f t="shared" si="455"/>
        <v>25453</v>
      </c>
      <c r="BT119" s="31">
        <f t="shared" si="456"/>
        <v>6280.5</v>
      </c>
      <c r="BU119" s="31">
        <f t="shared" si="457"/>
        <v>6396.75</v>
      </c>
      <c r="BV119" s="31">
        <f t="shared" si="458"/>
        <v>6662.25</v>
      </c>
      <c r="BW119" s="31">
        <f t="shared" si="459"/>
        <v>6285.6666666666661</v>
      </c>
      <c r="BX119" s="31">
        <f t="shared" si="460"/>
        <v>6615.333333333333</v>
      </c>
      <c r="BY119" s="32">
        <f t="shared" si="461"/>
        <v>6450.2121212121219</v>
      </c>
      <c r="BZ119" s="33"/>
      <c r="CA119" s="34">
        <f t="shared" si="462"/>
        <v>-6.0644346178142738E-2</v>
      </c>
      <c r="CB119" s="34">
        <f t="shared" si="463"/>
        <v>-0.10083144368858654</v>
      </c>
      <c r="CC119" s="34">
        <f t="shared" si="464"/>
        <v>-7.7859783798512772E-2</v>
      </c>
      <c r="CD119" s="34">
        <f t="shared" si="465"/>
        <v>3.2452175741013445E-3</v>
      </c>
      <c r="CE119" s="33"/>
      <c r="CF119" s="34">
        <f t="shared" si="466"/>
        <v>2.5599346039829385E-2</v>
      </c>
      <c r="CG119" s="33"/>
      <c r="CH119" s="34">
        <f t="shared" si="467"/>
        <v>1.8509672796751753E-2</v>
      </c>
      <c r="CI119" s="34">
        <f t="shared" si="467"/>
        <v>4.1505451987337239E-2</v>
      </c>
      <c r="CJ119" s="34">
        <f t="shared" si="467"/>
        <v>-5.6524947777902956E-2</v>
      </c>
      <c r="CK119" s="34">
        <f t="shared" si="467"/>
        <v>-0.21066447473086913</v>
      </c>
    </row>
    <row r="120" spans="2:89" s="8" customFormat="1">
      <c r="B120" s="36" t="s">
        <v>76</v>
      </c>
      <c r="C120" s="76">
        <f t="shared" ref="C120" si="480">SUM(O120:R120)</f>
        <v>17919.205800000003</v>
      </c>
      <c r="D120" s="76">
        <f t="shared" ref="D120" si="481">SUM(S120:V120)</f>
        <v>24673.9872</v>
      </c>
      <c r="E120" s="76">
        <f t="shared" ref="E120" si="482">SUM(W120:Z120)</f>
        <v>13695.356800000001</v>
      </c>
      <c r="F120" s="76">
        <f t="shared" ref="F120" si="483">SUM(AA120:AD120)</f>
        <v>-3875.9999999999991</v>
      </c>
      <c r="G120" s="76">
        <f t="shared" ref="G120" si="484">SUM(AE120:AH120)</f>
        <v>29460.799999999999</v>
      </c>
      <c r="H120" s="76">
        <f t="shared" ref="H120" si="485">SUM(AI120:AL120)</f>
        <v>22360.800000000003</v>
      </c>
      <c r="I120" s="76">
        <f t="shared" ref="I120" si="486">SUM(AM120:AP120)</f>
        <v>19240</v>
      </c>
      <c r="J120" s="76">
        <f t="shared" ref="J120" si="487">SUM(AQ120:AT120)</f>
        <v>20846.599999999999</v>
      </c>
      <c r="K120" s="76">
        <f t="shared" ref="K120" si="488">SUM(AU120:AX120)</f>
        <v>20766.599999999999</v>
      </c>
      <c r="L120" s="76">
        <f t="shared" ref="L120" si="489">SUM(AY120:BB120)</f>
        <v>20366.733333333334</v>
      </c>
      <c r="M120" s="76">
        <f t="shared" ref="M120" si="490">SUM(BC120:BE120)</f>
        <v>16182.2</v>
      </c>
      <c r="N120" s="47"/>
      <c r="O120" s="37">
        <f t="shared" ref="O120:BE120" si="491">AVERAGE(O115:O119)</f>
        <v>4799.6948000000002</v>
      </c>
      <c r="P120" s="38">
        <f t="shared" si="491"/>
        <v>3787.5466000000001</v>
      </c>
      <c r="Q120" s="38">
        <f t="shared" si="491"/>
        <v>5028.7322000000004</v>
      </c>
      <c r="R120" s="38">
        <f t="shared" si="491"/>
        <v>4303.2322000000004</v>
      </c>
      <c r="S120" s="37">
        <f t="shared" si="491"/>
        <v>6442.1247999999996</v>
      </c>
      <c r="T120" s="38">
        <f t="shared" si="491"/>
        <v>6331.3374000000003</v>
      </c>
      <c r="U120" s="38">
        <f t="shared" si="491"/>
        <v>5554.1207999999997</v>
      </c>
      <c r="V120" s="38">
        <f t="shared" si="491"/>
        <v>6346.4041999999999</v>
      </c>
      <c r="W120" s="37">
        <f t="shared" si="491"/>
        <v>8164.0522000000001</v>
      </c>
      <c r="X120" s="38">
        <f t="shared" si="491"/>
        <v>7733.5280000000002</v>
      </c>
      <c r="Y120" s="38">
        <f t="shared" si="491"/>
        <v>3301.8851999999997</v>
      </c>
      <c r="Z120" s="38">
        <f t="shared" si="491"/>
        <v>-5504.1086000000005</v>
      </c>
      <c r="AA120" s="37">
        <f t="shared" si="491"/>
        <v>1007.8</v>
      </c>
      <c r="AB120" s="38">
        <f t="shared" si="491"/>
        <v>2780.2</v>
      </c>
      <c r="AC120" s="38">
        <f t="shared" si="491"/>
        <v>2740.8</v>
      </c>
      <c r="AD120" s="38">
        <f t="shared" si="491"/>
        <v>-10404.799999999999</v>
      </c>
      <c r="AE120" s="37">
        <f t="shared" si="491"/>
        <v>7895.6</v>
      </c>
      <c r="AF120" s="38">
        <f t="shared" si="491"/>
        <v>8569.6</v>
      </c>
      <c r="AG120" s="38">
        <f t="shared" si="491"/>
        <v>7485.4</v>
      </c>
      <c r="AH120" s="38">
        <f t="shared" si="491"/>
        <v>5510.2</v>
      </c>
      <c r="AI120" s="37">
        <f t="shared" si="491"/>
        <v>7684</v>
      </c>
      <c r="AJ120" s="38">
        <f t="shared" si="491"/>
        <v>4829.6000000000004</v>
      </c>
      <c r="AK120" s="38">
        <f t="shared" si="491"/>
        <v>5269.6</v>
      </c>
      <c r="AL120" s="38">
        <f t="shared" si="491"/>
        <v>4577.6000000000004</v>
      </c>
      <c r="AM120" s="37">
        <f t="shared" si="491"/>
        <v>6698</v>
      </c>
      <c r="AN120" s="38">
        <f t="shared" si="491"/>
        <v>5492.6</v>
      </c>
      <c r="AO120" s="38">
        <f t="shared" si="491"/>
        <v>3657.6</v>
      </c>
      <c r="AP120" s="38">
        <f t="shared" si="491"/>
        <v>3391.8</v>
      </c>
      <c r="AQ120" s="37">
        <f t="shared" si="491"/>
        <v>6668</v>
      </c>
      <c r="AR120" s="38">
        <f t="shared" si="491"/>
        <v>4513</v>
      </c>
      <c r="AS120" s="38">
        <f t="shared" si="491"/>
        <v>5076</v>
      </c>
      <c r="AT120" s="38">
        <f t="shared" si="491"/>
        <v>4589.6000000000004</v>
      </c>
      <c r="AU120" s="37">
        <f t="shared" si="491"/>
        <v>6125.4</v>
      </c>
      <c r="AV120" s="38">
        <f t="shared" si="491"/>
        <v>5489.8</v>
      </c>
      <c r="AW120" s="38">
        <f t="shared" si="491"/>
        <v>4535.3999999999996</v>
      </c>
      <c r="AX120" s="38">
        <f t="shared" si="491"/>
        <v>4616</v>
      </c>
      <c r="AY120" s="37">
        <f t="shared" si="491"/>
        <v>5788</v>
      </c>
      <c r="AZ120" s="38">
        <f t="shared" si="491"/>
        <v>5257.9333333333325</v>
      </c>
      <c r="BA120" s="39">
        <f t="shared" si="491"/>
        <v>5082.8</v>
      </c>
      <c r="BB120" s="38">
        <f t="shared" si="491"/>
        <v>4238</v>
      </c>
      <c r="BC120" s="37">
        <f t="shared" si="491"/>
        <v>6265.6</v>
      </c>
      <c r="BD120" s="38">
        <f t="shared" si="491"/>
        <v>5331</v>
      </c>
      <c r="BE120" s="38">
        <f t="shared" si="491"/>
        <v>4585.6000000000004</v>
      </c>
      <c r="BF120" s="38"/>
      <c r="BG120" s="37"/>
      <c r="BH120" s="38"/>
      <c r="BI120" s="38"/>
      <c r="BJ120" s="38"/>
      <c r="BK120" s="23"/>
      <c r="BL120" s="42">
        <f t="shared" si="449"/>
        <v>19240</v>
      </c>
      <c r="BM120" s="38">
        <f t="shared" si="450"/>
        <v>20846.599999999999</v>
      </c>
      <c r="BN120" s="38">
        <f t="shared" si="451"/>
        <v>20766.599999999999</v>
      </c>
      <c r="BO120" s="38">
        <f t="shared" si="452"/>
        <v>20366.733333333334</v>
      </c>
      <c r="BP120" s="38">
        <f t="shared" si="453"/>
        <v>16182.2</v>
      </c>
      <c r="BQ120" s="23"/>
      <c r="BR120" s="38">
        <f t="shared" si="454"/>
        <v>20744.733333333334</v>
      </c>
      <c r="BS120" s="43">
        <f t="shared" si="455"/>
        <v>20420.2</v>
      </c>
      <c r="BT120" s="44">
        <f t="shared" si="456"/>
        <v>4810</v>
      </c>
      <c r="BU120" s="44">
        <f t="shared" si="457"/>
        <v>5211.6499999999996</v>
      </c>
      <c r="BV120" s="44">
        <f t="shared" si="458"/>
        <v>5191.6499999999996</v>
      </c>
      <c r="BW120" s="44">
        <f t="shared" si="459"/>
        <v>5091.6833333333334</v>
      </c>
      <c r="BX120" s="44">
        <f t="shared" si="460"/>
        <v>5394.0666666666666</v>
      </c>
      <c r="BY120" s="45">
        <f t="shared" si="461"/>
        <v>5235.3333333333339</v>
      </c>
      <c r="BZ120" s="33"/>
      <c r="CA120" s="46">
        <f t="shared" si="462"/>
        <v>-0.1398236728568748</v>
      </c>
      <c r="CB120" s="46">
        <f t="shared" si="463"/>
        <v>-9.7820099157944429E-2</v>
      </c>
      <c r="CC120" s="46">
        <f t="shared" si="464"/>
        <v>-0.12410543741245383</v>
      </c>
      <c r="CD120" s="46">
        <f t="shared" si="465"/>
        <v>-1.5644131361855718E-2</v>
      </c>
      <c r="CE120" s="33"/>
      <c r="CF120" s="46">
        <f t="shared" si="466"/>
        <v>3.0319623073984392E-2</v>
      </c>
      <c r="CG120" s="33"/>
      <c r="CH120" s="46">
        <f t="shared" si="467"/>
        <v>8.3503118503118534E-2</v>
      </c>
      <c r="CI120" s="46">
        <f t="shared" si="467"/>
        <v>-3.837556244183693E-3</v>
      </c>
      <c r="CJ120" s="46">
        <f t="shared" si="467"/>
        <v>-1.9255278508117146E-2</v>
      </c>
      <c r="CK120" s="46">
        <f t="shared" si="467"/>
        <v>-0.20545922926602533</v>
      </c>
    </row>
    <row r="121" spans="2:89" s="8" customFormat="1">
      <c r="O121" s="56"/>
      <c r="P121" s="57"/>
      <c r="Q121" s="57"/>
      <c r="R121" s="57"/>
      <c r="S121" s="56"/>
      <c r="T121" s="57"/>
      <c r="U121" s="57"/>
      <c r="V121" s="57"/>
      <c r="W121" s="56"/>
      <c r="X121" s="57"/>
      <c r="Y121" s="57"/>
      <c r="Z121" s="57"/>
      <c r="AA121" s="56"/>
      <c r="AB121" s="57"/>
      <c r="AC121" s="57"/>
      <c r="AD121" s="57"/>
      <c r="AE121" s="56"/>
      <c r="AF121" s="57"/>
      <c r="AG121" s="57"/>
      <c r="AH121" s="57"/>
      <c r="AI121" s="56"/>
      <c r="AJ121" s="57"/>
      <c r="AK121" s="57"/>
      <c r="AL121" s="57"/>
      <c r="AM121" s="56"/>
      <c r="AN121" s="57"/>
      <c r="AO121" s="57"/>
      <c r="AP121" s="57"/>
      <c r="AQ121" s="22"/>
      <c r="AR121" s="23"/>
      <c r="AS121" s="23"/>
      <c r="AT121" s="23"/>
      <c r="AU121" s="22"/>
      <c r="AV121" s="23"/>
      <c r="AW121" s="23"/>
      <c r="AX121" s="23"/>
      <c r="AY121" s="22"/>
      <c r="AZ121" s="23"/>
      <c r="BA121" s="26"/>
      <c r="BB121" s="23"/>
      <c r="BC121" s="22"/>
      <c r="BD121" s="23"/>
      <c r="BE121" s="23"/>
      <c r="BF121" s="23"/>
      <c r="BG121" s="22"/>
      <c r="BH121" s="23"/>
      <c r="BI121" s="23"/>
      <c r="BJ121" s="23"/>
      <c r="BK121" s="23"/>
      <c r="BL121" s="59"/>
      <c r="BM121" s="57"/>
      <c r="BN121" s="23"/>
      <c r="BO121" s="23"/>
      <c r="BP121" s="23"/>
      <c r="BQ121" s="57"/>
      <c r="BR121" s="57"/>
      <c r="BS121" s="60"/>
      <c r="BT121" s="33"/>
      <c r="BU121" s="33"/>
      <c r="BV121" s="33"/>
      <c r="BW121" s="33"/>
      <c r="BX121" s="33"/>
      <c r="BY121" s="61"/>
      <c r="BZ121" s="33"/>
      <c r="CA121" s="34"/>
      <c r="CB121" s="34"/>
      <c r="CC121" s="34"/>
      <c r="CD121" s="34"/>
      <c r="CE121" s="33"/>
      <c r="CF121" s="34"/>
      <c r="CG121" s="33"/>
      <c r="CH121" s="34"/>
      <c r="CI121" s="34"/>
      <c r="CJ121" s="34"/>
      <c r="CK121" s="34"/>
    </row>
    <row r="122" spans="2:89" hidden="1" outlineLevel="1">
      <c r="B122" s="8" t="s">
        <v>71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22"/>
      <c r="P122" s="23"/>
      <c r="Q122" s="23"/>
      <c r="R122" s="23"/>
      <c r="S122" s="22"/>
      <c r="T122" s="23"/>
      <c r="U122" s="23"/>
      <c r="V122" s="23"/>
      <c r="W122" s="22"/>
      <c r="X122" s="23"/>
      <c r="Y122" s="23"/>
      <c r="Z122" s="23"/>
      <c r="AA122" s="22"/>
      <c r="AB122" s="23"/>
      <c r="AC122" s="23"/>
      <c r="AD122" s="23"/>
      <c r="AE122" s="22">
        <f t="shared" ref="AE122:BE125" si="492">AE62+AE77+AE92</f>
        <v>7495.4106281249997</v>
      </c>
      <c r="AF122" s="23">
        <f t="shared" si="492"/>
        <v>8354.5365600000041</v>
      </c>
      <c r="AG122" s="23">
        <f t="shared" si="492"/>
        <v>6100.697200000016</v>
      </c>
      <c r="AH122" s="23">
        <f t="shared" si="492"/>
        <v>6025.3761696969759</v>
      </c>
      <c r="AI122" s="22">
        <f t="shared" si="492"/>
        <v>5917.8811999999998</v>
      </c>
      <c r="AJ122" s="23">
        <f t="shared" si="492"/>
        <v>4718.9687999999996</v>
      </c>
      <c r="AK122" s="23">
        <f t="shared" si="492"/>
        <v>4082.9930999999997</v>
      </c>
      <c r="AL122" s="23">
        <f t="shared" si="492"/>
        <v>5341.6419000000005</v>
      </c>
      <c r="AM122" s="22">
        <f t="shared" si="492"/>
        <v>5382.8739999999998</v>
      </c>
      <c r="AN122" s="23">
        <f t="shared" si="492"/>
        <v>4564.6571999999996</v>
      </c>
      <c r="AO122" s="23">
        <f t="shared" si="492"/>
        <v>3485.2169999999996</v>
      </c>
      <c r="AP122" s="23">
        <f t="shared" si="492"/>
        <v>2804.1551999999997</v>
      </c>
      <c r="AQ122" s="22">
        <f t="shared" si="492"/>
        <v>5430.9145000000008</v>
      </c>
      <c r="AR122" s="23">
        <f t="shared" si="492"/>
        <v>4578</v>
      </c>
      <c r="AS122" s="23">
        <f t="shared" si="492"/>
        <v>3321.3583596799999</v>
      </c>
      <c r="AT122" s="23">
        <f t="shared" si="492"/>
        <v>3114.4218000000001</v>
      </c>
      <c r="AU122" s="22">
        <f t="shared" si="492"/>
        <v>4145.1749999999993</v>
      </c>
      <c r="AV122" s="23">
        <f t="shared" si="492"/>
        <v>3542.3985000000002</v>
      </c>
      <c r="AW122" s="23">
        <f t="shared" si="492"/>
        <v>2879.2784999999999</v>
      </c>
      <c r="AX122" s="23">
        <f t="shared" si="492"/>
        <v>2889.7347149999996</v>
      </c>
      <c r="AY122" s="22">
        <f t="shared" si="492"/>
        <v>3484.042301587293</v>
      </c>
      <c r="AZ122" s="23">
        <f t="shared" si="492"/>
        <v>3585.5994000000001</v>
      </c>
      <c r="BA122" s="26">
        <f t="shared" si="492"/>
        <v>2703.0404999999996</v>
      </c>
      <c r="BB122" s="23">
        <f t="shared" si="492"/>
        <v>2637.7995861538516</v>
      </c>
      <c r="BC122" s="22">
        <f t="shared" si="492"/>
        <v>3253.3062888888862</v>
      </c>
      <c r="BD122" s="23">
        <f t="shared" si="492"/>
        <v>3296.2059523809571</v>
      </c>
      <c r="BE122" s="23">
        <f t="shared" si="492"/>
        <v>2804.7190234848513</v>
      </c>
      <c r="BF122" s="23"/>
      <c r="BG122" s="22"/>
      <c r="BH122" s="23"/>
      <c r="BI122" s="23"/>
      <c r="BJ122" s="23"/>
      <c r="BK122" s="23"/>
      <c r="BL122" s="29">
        <f t="shared" ref="BL122:BL127" si="493">SUM(AM122:AP122)</f>
        <v>16236.903399999997</v>
      </c>
      <c r="BM122" s="23">
        <f t="shared" ref="BM122:BM127" si="494">SUM(AQ122:AT122)</f>
        <v>16444.694659680001</v>
      </c>
      <c r="BN122" s="23">
        <f t="shared" ref="BN122:BN127" si="495">SUM(AU122:AX122)</f>
        <v>13456.586714999998</v>
      </c>
      <c r="BO122" s="23">
        <f t="shared" ref="BO122:BO127" si="496">SUM(AY122:BB122)</f>
        <v>12410.481787741144</v>
      </c>
      <c r="BP122" s="23">
        <f t="shared" ref="BP122:BP127" si="497">SUM(BC122:BF122)</f>
        <v>9354.2312647546951</v>
      </c>
      <c r="BQ122" s="23"/>
      <c r="BR122" s="23">
        <f t="shared" ref="BR122:BR127" si="498">SUM(AX122:BA122)</f>
        <v>12662.416916587292</v>
      </c>
      <c r="BS122" s="30">
        <f t="shared" ref="BS122:BS127" si="499">SUM(BB122:BE122)</f>
        <v>11992.030850908546</v>
      </c>
      <c r="BT122" s="31">
        <f t="shared" ref="BT122:BT127" si="500">AVERAGE(AM122:AP122)</f>
        <v>4059.2258499999994</v>
      </c>
      <c r="BU122" s="31">
        <f t="shared" ref="BU122:BU127" si="501">AVERAGE(AQ122:AT122)</f>
        <v>4111.1736649200002</v>
      </c>
      <c r="BV122" s="31">
        <f t="shared" ref="BV122:BV127" si="502">AVERAGE(AU122:AX122)</f>
        <v>3364.1466787499994</v>
      </c>
      <c r="BW122" s="31">
        <f t="shared" ref="BW122:BW127" si="503">AVERAGE(AY122:BB122)</f>
        <v>3102.6204469352861</v>
      </c>
      <c r="BX122" s="31">
        <f t="shared" ref="BX122:BX127" si="504">AVERAGE(BC122:BF122)</f>
        <v>3118.0770882515649</v>
      </c>
      <c r="BY122" s="32">
        <f t="shared" ref="BY122:BY127" si="505">AVERAGE(AI122:BD122)</f>
        <v>3870.8938092586818</v>
      </c>
      <c r="BZ122" s="33"/>
      <c r="CA122" s="34">
        <f t="shared" ref="CA122:CA127" si="506">BE122/BD122-1</f>
        <v>-0.14910686285882369</v>
      </c>
      <c r="CB122" s="34">
        <f t="shared" ref="CB122:CB127" si="507">BE122/BA122-1</f>
        <v>3.7616352209614234E-2</v>
      </c>
      <c r="CC122" s="34">
        <f t="shared" ref="CC122:CC127" si="508">BE122/BY122-1</f>
        <v>-0.27543374690973876</v>
      </c>
      <c r="CD122" s="34">
        <f t="shared" ref="CD122:CD127" si="509">BS122/BR122-1</f>
        <v>-5.294297842938378E-2</v>
      </c>
      <c r="CE122" s="33"/>
      <c r="CF122" s="34">
        <f t="shared" ref="CF122:CF127" si="510">BX122/BY122-1</f>
        <v>-0.1944813673799255</v>
      </c>
      <c r="CG122" s="33"/>
      <c r="CH122" s="34">
        <f t="shared" ref="CH122:CK127" si="511">BM122/BL122-1</f>
        <v>1.2797468492668607E-2</v>
      </c>
      <c r="CI122" s="34">
        <f t="shared" si="511"/>
        <v>-0.18170650209799333</v>
      </c>
      <c r="CJ122" s="34">
        <f t="shared" si="511"/>
        <v>-7.7739247657265476E-2</v>
      </c>
      <c r="CK122" s="34">
        <f t="shared" si="511"/>
        <v>-0.24626364836257686</v>
      </c>
    </row>
    <row r="123" spans="2:89" hidden="1" outlineLevel="1">
      <c r="B123" s="8" t="s">
        <v>73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2">
        <f t="shared" ref="O123:AH125" si="512">O63+O78+O93</f>
        <v>3555.3408823197024</v>
      </c>
      <c r="P123" s="23">
        <f t="shared" si="512"/>
        <v>2884.5519063334036</v>
      </c>
      <c r="Q123" s="23">
        <f t="shared" si="512"/>
        <v>3889.395722028692</v>
      </c>
      <c r="R123" s="23">
        <f t="shared" si="512"/>
        <v>3261.5297616300472</v>
      </c>
      <c r="S123" s="22">
        <f t="shared" si="512"/>
        <v>5171.0799110613325</v>
      </c>
      <c r="T123" s="23">
        <f t="shared" si="512"/>
        <v>3933.3574762282969</v>
      </c>
      <c r="U123" s="23">
        <f t="shared" si="512"/>
        <v>3845.5876469837985</v>
      </c>
      <c r="V123" s="23">
        <f t="shared" si="512"/>
        <v>5630.0846279991511</v>
      </c>
      <c r="W123" s="22">
        <f t="shared" si="512"/>
        <v>5746.1561261844981</v>
      </c>
      <c r="X123" s="23">
        <f t="shared" si="512"/>
        <v>6670.1212267260962</v>
      </c>
      <c r="Y123" s="23">
        <f t="shared" si="512"/>
        <v>1331.2301399913367</v>
      </c>
      <c r="Z123" s="23">
        <f t="shared" si="512"/>
        <v>2283.836109516913</v>
      </c>
      <c r="AA123" s="22">
        <f t="shared" si="512"/>
        <v>-796.80550326716389</v>
      </c>
      <c r="AB123" s="23">
        <f t="shared" si="512"/>
        <v>3725.2800349608533</v>
      </c>
      <c r="AC123" s="23">
        <f t="shared" si="512"/>
        <v>-2074.4880254446412</v>
      </c>
      <c r="AD123" s="23">
        <f t="shared" si="512"/>
        <v>-2368.5408681049903</v>
      </c>
      <c r="AE123" s="22">
        <f t="shared" si="512"/>
        <v>5607.2719753774318</v>
      </c>
      <c r="AF123" s="23">
        <f t="shared" si="512"/>
        <v>5692.7055184575875</v>
      </c>
      <c r="AG123" s="23">
        <f t="shared" si="512"/>
        <v>5029.5119269100815</v>
      </c>
      <c r="AH123" s="23">
        <f t="shared" si="512"/>
        <v>3286.5639427320357</v>
      </c>
      <c r="AI123" s="22">
        <f t="shared" si="492"/>
        <v>5029.6795214528947</v>
      </c>
      <c r="AJ123" s="23">
        <f t="shared" si="492"/>
        <v>3680.1095424447453</v>
      </c>
      <c r="AK123" s="23">
        <f t="shared" si="492"/>
        <v>3535.5128623292321</v>
      </c>
      <c r="AL123" s="23">
        <f t="shared" si="492"/>
        <v>3640.3773570033914</v>
      </c>
      <c r="AM123" s="22">
        <f t="shared" si="492"/>
        <v>5419.2881427964303</v>
      </c>
      <c r="AN123" s="23">
        <f t="shared" si="492"/>
        <v>3360.9057254541276</v>
      </c>
      <c r="AO123" s="23">
        <f t="shared" si="492"/>
        <v>2243.7087472740491</v>
      </c>
      <c r="AP123" s="23">
        <f t="shared" si="492"/>
        <v>1775.8693555458133</v>
      </c>
      <c r="AQ123" s="22">
        <f t="shared" si="492"/>
        <v>4824.8681497558327</v>
      </c>
      <c r="AR123" s="23">
        <f t="shared" si="492"/>
        <v>3317.5856471593333</v>
      </c>
      <c r="AS123" s="23">
        <f t="shared" si="492"/>
        <v>3518.0835148048905</v>
      </c>
      <c r="AT123" s="23">
        <f t="shared" si="492"/>
        <v>2984.7551046940889</v>
      </c>
      <c r="AU123" s="22">
        <f t="shared" si="492"/>
        <v>4349.7420464316419</v>
      </c>
      <c r="AV123" s="23">
        <f t="shared" si="492"/>
        <v>3716.1947184218898</v>
      </c>
      <c r="AW123" s="23">
        <f t="shared" si="492"/>
        <v>2792.3132539943063</v>
      </c>
      <c r="AX123" s="23">
        <f t="shared" si="492"/>
        <v>3058.5543735002066</v>
      </c>
      <c r="AY123" s="22">
        <f t="shared" si="492"/>
        <v>3943.0923935359911</v>
      </c>
      <c r="AZ123" s="23">
        <f t="shared" si="492"/>
        <v>2881.7530101742223</v>
      </c>
      <c r="BA123" s="26">
        <f t="shared" si="492"/>
        <v>3574.4579999999987</v>
      </c>
      <c r="BB123" s="23">
        <f t="shared" si="492"/>
        <v>2638.5767386865991</v>
      </c>
      <c r="BC123" s="22">
        <f t="shared" si="492"/>
        <v>3849.3544774410593</v>
      </c>
      <c r="BD123" s="23">
        <f t="shared" si="492"/>
        <v>3697.1456902046912</v>
      </c>
      <c r="BE123" s="23">
        <f t="shared" si="492"/>
        <v>2762.1172176029204</v>
      </c>
      <c r="BF123" s="23"/>
      <c r="BG123" s="22"/>
      <c r="BH123" s="23"/>
      <c r="BI123" s="23"/>
      <c r="BJ123" s="23"/>
      <c r="BK123" s="23"/>
      <c r="BL123" s="29">
        <f t="shared" si="493"/>
        <v>12799.77197107042</v>
      </c>
      <c r="BM123" s="23">
        <f t="shared" si="494"/>
        <v>14645.292416414144</v>
      </c>
      <c r="BN123" s="23">
        <f t="shared" si="495"/>
        <v>13916.804392348044</v>
      </c>
      <c r="BO123" s="23">
        <f t="shared" si="496"/>
        <v>13037.880142396811</v>
      </c>
      <c r="BP123" s="23">
        <f t="shared" si="497"/>
        <v>10308.617385248672</v>
      </c>
      <c r="BQ123" s="23"/>
      <c r="BR123" s="23">
        <f t="shared" si="498"/>
        <v>13457.857777210418</v>
      </c>
      <c r="BS123" s="30">
        <f t="shared" si="499"/>
        <v>12947.194123935271</v>
      </c>
      <c r="BT123" s="31">
        <f t="shared" si="500"/>
        <v>3199.9429927676051</v>
      </c>
      <c r="BU123" s="31">
        <f t="shared" si="501"/>
        <v>3661.323104103536</v>
      </c>
      <c r="BV123" s="31">
        <f t="shared" si="502"/>
        <v>3479.2010980870109</v>
      </c>
      <c r="BW123" s="31">
        <f t="shared" si="503"/>
        <v>3259.4700355992027</v>
      </c>
      <c r="BX123" s="31">
        <f t="shared" si="504"/>
        <v>3436.2057950828907</v>
      </c>
      <c r="BY123" s="32">
        <f t="shared" si="505"/>
        <v>3537.8149260502473</v>
      </c>
      <c r="BZ123" s="33"/>
      <c r="CA123" s="34">
        <f t="shared" si="506"/>
        <v>-0.25290549817364738</v>
      </c>
      <c r="CB123" s="34">
        <f t="shared" si="507"/>
        <v>-0.22726264580450484</v>
      </c>
      <c r="CC123" s="34">
        <f t="shared" si="508"/>
        <v>-0.21925898461662763</v>
      </c>
      <c r="CD123" s="34">
        <f t="shared" si="509"/>
        <v>-3.7945389357577186E-2</v>
      </c>
      <c r="CE123" s="33"/>
      <c r="CF123" s="34">
        <f t="shared" si="510"/>
        <v>-2.8720872372144379E-2</v>
      </c>
      <c r="CG123" s="33"/>
      <c r="CH123" s="34">
        <f t="shared" si="511"/>
        <v>0.14418385339324025</v>
      </c>
      <c r="CI123" s="34">
        <f t="shared" si="511"/>
        <v>-4.9742128962179444E-2</v>
      </c>
      <c r="CJ123" s="34">
        <f t="shared" si="511"/>
        <v>-6.3155608512719841E-2</v>
      </c>
      <c r="CK123" s="34">
        <f t="shared" si="511"/>
        <v>-0.2093333216243547</v>
      </c>
    </row>
    <row r="124" spans="2:89" hidden="1" outlineLevel="1">
      <c r="B124" s="8" t="s">
        <v>74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22">
        <f t="shared" si="512"/>
        <v>4867.7889187499995</v>
      </c>
      <c r="P124" s="23">
        <f t="shared" si="512"/>
        <v>3512.644338461545</v>
      </c>
      <c r="Q124" s="23">
        <f t="shared" si="512"/>
        <v>4202.4314181818127</v>
      </c>
      <c r="R124" s="23">
        <f t="shared" si="512"/>
        <v>3534.4990092307576</v>
      </c>
      <c r="S124" s="22">
        <f t="shared" si="512"/>
        <v>6053.1406923076811</v>
      </c>
      <c r="T124" s="23">
        <f t="shared" si="512"/>
        <v>4942.9770707692123</v>
      </c>
      <c r="U124" s="23">
        <f t="shared" si="512"/>
        <v>4221.4191507692403</v>
      </c>
      <c r="V124" s="23">
        <f t="shared" si="512"/>
        <v>4743.239489230753</v>
      </c>
      <c r="W124" s="22">
        <f t="shared" si="512"/>
        <v>7689.6285692307965</v>
      </c>
      <c r="X124" s="23">
        <f t="shared" si="512"/>
        <v>6993.5203799999917</v>
      </c>
      <c r="Y124" s="23">
        <f t="shared" si="512"/>
        <v>1554.6377999999991</v>
      </c>
      <c r="Z124" s="23">
        <f t="shared" si="512"/>
        <v>5046.2361575757568</v>
      </c>
      <c r="AA124" s="22">
        <f t="shared" si="512"/>
        <v>1220.3437907692341</v>
      </c>
      <c r="AB124" s="23">
        <f t="shared" si="512"/>
        <v>2845.021199999997</v>
      </c>
      <c r="AC124" s="23">
        <f t="shared" si="512"/>
        <v>804.63594696969471</v>
      </c>
      <c r="AD124" s="23">
        <f t="shared" si="512"/>
        <v>-4880.5497378787923</v>
      </c>
      <c r="AE124" s="22">
        <f t="shared" si="512"/>
        <v>5716.4576875000002</v>
      </c>
      <c r="AF124" s="23">
        <f t="shared" si="512"/>
        <v>5961.889855384612</v>
      </c>
      <c r="AG124" s="23">
        <f t="shared" si="512"/>
        <v>5529.3230696969713</v>
      </c>
      <c r="AH124" s="23">
        <f t="shared" si="512"/>
        <v>3538.0388787878801</v>
      </c>
      <c r="AI124" s="22">
        <f t="shared" si="492"/>
        <v>7416.9887999999992</v>
      </c>
      <c r="AJ124" s="23">
        <f t="shared" si="492"/>
        <v>4289.0738999999994</v>
      </c>
      <c r="AK124" s="23">
        <f t="shared" si="492"/>
        <v>4513.1998000000003</v>
      </c>
      <c r="AL124" s="23">
        <f t="shared" si="492"/>
        <v>4475.8455999999996</v>
      </c>
      <c r="AM124" s="22">
        <f t="shared" si="492"/>
        <v>7091.2347</v>
      </c>
      <c r="AN124" s="23">
        <f t="shared" si="492"/>
        <v>4873.8083999999999</v>
      </c>
      <c r="AO124" s="23">
        <f t="shared" si="492"/>
        <v>3162.2231999999999</v>
      </c>
      <c r="AP124" s="23">
        <f t="shared" si="492"/>
        <v>2948.5134000000003</v>
      </c>
      <c r="AQ124" s="22">
        <f t="shared" si="492"/>
        <v>6236.2832291600007</v>
      </c>
      <c r="AR124" s="23">
        <f t="shared" si="492"/>
        <v>4289.7912000000006</v>
      </c>
      <c r="AS124" s="23">
        <f t="shared" si="492"/>
        <v>4669.8516</v>
      </c>
      <c r="AT124" s="23">
        <f t="shared" si="492"/>
        <v>3398.1525000000001</v>
      </c>
      <c r="AU124" s="22">
        <f t="shared" si="492"/>
        <v>5488.0713999999998</v>
      </c>
      <c r="AV124" s="23">
        <f t="shared" si="492"/>
        <v>4370.1779000000006</v>
      </c>
      <c r="AW124" s="23">
        <f t="shared" si="492"/>
        <v>3374.6221599999999</v>
      </c>
      <c r="AX124" s="23">
        <f t="shared" si="492"/>
        <v>3075.3529020000001</v>
      </c>
      <c r="AY124" s="22">
        <f t="shared" si="492"/>
        <v>5245.2772547301438</v>
      </c>
      <c r="AZ124" s="23">
        <f t="shared" si="492"/>
        <v>3462.2080835625002</v>
      </c>
      <c r="BA124" s="26">
        <f t="shared" si="492"/>
        <v>3622.3166708957087</v>
      </c>
      <c r="BB124" s="23">
        <f t="shared" si="492"/>
        <v>3268.7214501461599</v>
      </c>
      <c r="BC124" s="22">
        <f t="shared" si="492"/>
        <v>4995.4000393016013</v>
      </c>
      <c r="BD124" s="23">
        <f t="shared" si="492"/>
        <v>4946.7664051666561</v>
      </c>
      <c r="BE124" s="23">
        <f t="shared" si="492"/>
        <v>3278.414470454552</v>
      </c>
      <c r="BF124" s="23"/>
      <c r="BG124" s="22"/>
      <c r="BH124" s="23"/>
      <c r="BI124" s="23"/>
      <c r="BJ124" s="23"/>
      <c r="BK124" s="23"/>
      <c r="BL124" s="29">
        <f t="shared" si="493"/>
        <v>18075.779699999999</v>
      </c>
      <c r="BM124" s="23">
        <f t="shared" si="494"/>
        <v>18594.078529160004</v>
      </c>
      <c r="BN124" s="23">
        <f t="shared" si="495"/>
        <v>16308.224361999999</v>
      </c>
      <c r="BO124" s="23">
        <f t="shared" si="496"/>
        <v>15598.523459334514</v>
      </c>
      <c r="BP124" s="23">
        <f t="shared" si="497"/>
        <v>13220.58091492281</v>
      </c>
      <c r="BQ124" s="23"/>
      <c r="BR124" s="23">
        <f t="shared" si="498"/>
        <v>15405.154911188352</v>
      </c>
      <c r="BS124" s="30">
        <f t="shared" si="499"/>
        <v>16489.302365068968</v>
      </c>
      <c r="BT124" s="31">
        <f t="shared" si="500"/>
        <v>4518.9449249999998</v>
      </c>
      <c r="BU124" s="31">
        <f t="shared" si="501"/>
        <v>4648.519632290001</v>
      </c>
      <c r="BV124" s="31">
        <f t="shared" si="502"/>
        <v>4077.0560904999998</v>
      </c>
      <c r="BW124" s="31">
        <f t="shared" si="503"/>
        <v>3899.6308648336285</v>
      </c>
      <c r="BX124" s="31">
        <f t="shared" si="504"/>
        <v>4406.8603049742696</v>
      </c>
      <c r="BY124" s="32">
        <f t="shared" si="505"/>
        <v>4509.7218452255802</v>
      </c>
      <c r="BZ124" s="33"/>
      <c r="CA124" s="34">
        <f t="shared" si="506"/>
        <v>-0.33726111121188018</v>
      </c>
      <c r="CB124" s="34">
        <f t="shared" si="507"/>
        <v>-9.4939849738791104E-2</v>
      </c>
      <c r="CC124" s="34">
        <f t="shared" si="508"/>
        <v>-0.27303399567195197</v>
      </c>
      <c r="CD124" s="34">
        <f t="shared" si="509"/>
        <v>7.0375628166726711E-2</v>
      </c>
      <c r="CE124" s="33"/>
      <c r="CF124" s="34">
        <f t="shared" si="510"/>
        <v>-2.2808843600899631E-2</v>
      </c>
      <c r="CG124" s="33"/>
      <c r="CH124" s="34">
        <f t="shared" si="511"/>
        <v>2.8673663751279665E-2</v>
      </c>
      <c r="CI124" s="34">
        <f t="shared" si="511"/>
        <v>-0.12293452259950577</v>
      </c>
      <c r="CJ124" s="34">
        <f t="shared" si="511"/>
        <v>-4.3517975158544386E-2</v>
      </c>
      <c r="CK124" s="34">
        <f t="shared" si="511"/>
        <v>-0.15244664346667303</v>
      </c>
    </row>
    <row r="125" spans="2:89" hidden="1" outlineLevel="1">
      <c r="B125" s="8" t="s">
        <v>75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2">
        <f t="shared" si="512"/>
        <v>3393.1551664326907</v>
      </c>
      <c r="P125" s="23">
        <f t="shared" si="512"/>
        <v>2813.8395246636501</v>
      </c>
      <c r="Q125" s="23">
        <f t="shared" si="512"/>
        <v>3297.4239595542558</v>
      </c>
      <c r="R125" s="23">
        <f t="shared" si="512"/>
        <v>3192.0524692310428</v>
      </c>
      <c r="S125" s="22">
        <f t="shared" si="512"/>
        <v>4698.1721554066507</v>
      </c>
      <c r="T125" s="23">
        <f t="shared" si="512"/>
        <v>4696.2040197603392</v>
      </c>
      <c r="U125" s="23">
        <f t="shared" si="512"/>
        <v>3751.9184085830479</v>
      </c>
      <c r="V125" s="23">
        <f t="shared" si="512"/>
        <v>4644.8268275077389</v>
      </c>
      <c r="W125" s="22">
        <f t="shared" si="512"/>
        <v>5162.9283344196392</v>
      </c>
      <c r="X125" s="23">
        <f t="shared" si="512"/>
        <v>18676.843432836173</v>
      </c>
      <c r="Y125" s="23">
        <f t="shared" si="512"/>
        <v>-1116.1142993379588</v>
      </c>
      <c r="Z125" s="23">
        <f t="shared" si="512"/>
        <v>-10651.932671843073</v>
      </c>
      <c r="AA125" s="22">
        <f t="shared" si="512"/>
        <v>-15300.083345717228</v>
      </c>
      <c r="AB125" s="23">
        <f t="shared" si="512"/>
        <v>-1778.6133920586692</v>
      </c>
      <c r="AC125" s="23">
        <f t="shared" si="512"/>
        <v>-2261.5590382013825</v>
      </c>
      <c r="AD125" s="23">
        <f t="shared" si="512"/>
        <v>-2401.9100537299687</v>
      </c>
      <c r="AE125" s="22">
        <f t="shared" si="512"/>
        <v>78.584671995540248</v>
      </c>
      <c r="AF125" s="23">
        <f t="shared" si="512"/>
        <v>2118.3074197029746</v>
      </c>
      <c r="AG125" s="23">
        <f t="shared" si="512"/>
        <v>2793.294789953105</v>
      </c>
      <c r="AH125" s="23">
        <f t="shared" si="512"/>
        <v>2165.6320126876922</v>
      </c>
      <c r="AI125" s="22">
        <f t="shared" si="492"/>
        <v>3881.0064320847523</v>
      </c>
      <c r="AJ125" s="23">
        <f t="shared" si="492"/>
        <v>3267.4785746504285</v>
      </c>
      <c r="AK125" s="23">
        <f t="shared" si="492"/>
        <v>2282.7245421955236</v>
      </c>
      <c r="AL125" s="23">
        <f t="shared" si="492"/>
        <v>2985.3046963313127</v>
      </c>
      <c r="AM125" s="22">
        <f t="shared" si="492"/>
        <v>2680.6204844878876</v>
      </c>
      <c r="AN125" s="23">
        <f t="shared" si="492"/>
        <v>2433.8928489307882</v>
      </c>
      <c r="AO125" s="23">
        <f t="shared" si="492"/>
        <v>14.538405621516858</v>
      </c>
      <c r="AP125" s="23">
        <f t="shared" si="492"/>
        <v>2011.0701107011071</v>
      </c>
      <c r="AQ125" s="22">
        <f t="shared" si="492"/>
        <v>2434.0748779164405</v>
      </c>
      <c r="AR125" s="23">
        <f t="shared" si="492"/>
        <v>1332.7637761640324</v>
      </c>
      <c r="AS125" s="23">
        <f t="shared" si="492"/>
        <v>1796.7369843084275</v>
      </c>
      <c r="AT125" s="23">
        <f t="shared" si="492"/>
        <v>1628.1303190235076</v>
      </c>
      <c r="AU125" s="22">
        <f t="shared" si="492"/>
        <v>2804.2455998925166</v>
      </c>
      <c r="AV125" s="23">
        <f t="shared" si="492"/>
        <v>2177.3252730936474</v>
      </c>
      <c r="AW125" s="23">
        <f t="shared" si="492"/>
        <v>1745.3298748554498</v>
      </c>
      <c r="AX125" s="23">
        <f t="shared" si="492"/>
        <v>1974.4418851878102</v>
      </c>
      <c r="AY125" s="22">
        <f t="shared" si="492"/>
        <v>2333.8269094373773</v>
      </c>
      <c r="AZ125" s="23">
        <f t="shared" si="492"/>
        <v>1454.374177265913</v>
      </c>
      <c r="BA125" s="26">
        <f t="shared" si="492"/>
        <v>1830.1559999999993</v>
      </c>
      <c r="BB125" s="23">
        <f t="shared" si="492"/>
        <v>1909.4417358184076</v>
      </c>
      <c r="BC125" s="22">
        <f t="shared" si="492"/>
        <v>2620.7924460746162</v>
      </c>
      <c r="BD125" s="23">
        <f t="shared" si="492"/>
        <v>2381.8967348962406</v>
      </c>
      <c r="BE125" s="26">
        <f t="shared" si="492"/>
        <v>2003.650375177449</v>
      </c>
      <c r="BF125" s="23"/>
      <c r="BG125" s="22"/>
      <c r="BH125" s="23"/>
      <c r="BI125" s="23"/>
      <c r="BJ125" s="23"/>
      <c r="BK125" s="23"/>
      <c r="BL125" s="29">
        <f t="shared" si="493"/>
        <v>7140.1218497413001</v>
      </c>
      <c r="BM125" s="23">
        <f t="shared" si="494"/>
        <v>7191.7059574124078</v>
      </c>
      <c r="BN125" s="23">
        <f t="shared" si="495"/>
        <v>8701.3426330294242</v>
      </c>
      <c r="BO125" s="23">
        <f t="shared" si="496"/>
        <v>7527.7988225216968</v>
      </c>
      <c r="BP125" s="23">
        <f t="shared" si="497"/>
        <v>7006.3395561483057</v>
      </c>
      <c r="BQ125" s="23"/>
      <c r="BR125" s="23">
        <f t="shared" si="498"/>
        <v>7592.7989718910994</v>
      </c>
      <c r="BS125" s="30">
        <f t="shared" si="499"/>
        <v>8915.7812919667122</v>
      </c>
      <c r="BT125" s="31">
        <f t="shared" si="500"/>
        <v>1785.030462435325</v>
      </c>
      <c r="BU125" s="31">
        <f t="shared" si="501"/>
        <v>1797.9264893531019</v>
      </c>
      <c r="BV125" s="31">
        <f t="shared" si="502"/>
        <v>2175.335658257356</v>
      </c>
      <c r="BW125" s="31">
        <f t="shared" si="503"/>
        <v>1881.9497056304242</v>
      </c>
      <c r="BX125" s="31">
        <f t="shared" si="504"/>
        <v>2335.4465187161018</v>
      </c>
      <c r="BY125" s="32">
        <f t="shared" si="505"/>
        <v>2180.9169404062591</v>
      </c>
      <c r="BZ125" s="33"/>
      <c r="CA125" s="34">
        <f t="shared" si="506"/>
        <v>-0.15880048625838883</v>
      </c>
      <c r="CB125" s="34">
        <f t="shared" si="507"/>
        <v>9.4797588389978538E-2</v>
      </c>
      <c r="CC125" s="34">
        <f t="shared" si="508"/>
        <v>-8.1280750286523595E-2</v>
      </c>
      <c r="CD125" s="34">
        <f t="shared" si="509"/>
        <v>0.17424171573267722</v>
      </c>
      <c r="CE125" s="33"/>
      <c r="CF125" s="34">
        <f t="shared" si="510"/>
        <v>7.0855324862145963E-2</v>
      </c>
      <c r="CG125" s="33"/>
      <c r="CH125" s="34">
        <f t="shared" si="511"/>
        <v>7.2245416474197022E-3</v>
      </c>
      <c r="CI125" s="34">
        <f t="shared" si="511"/>
        <v>0.20991357051535897</v>
      </c>
      <c r="CJ125" s="34">
        <f t="shared" si="511"/>
        <v>-0.13486927937454996</v>
      </c>
      <c r="CK125" s="34">
        <f t="shared" si="511"/>
        <v>-6.9271148003223315E-2</v>
      </c>
    </row>
    <row r="126" spans="2:89" s="8" customFormat="1" hidden="1" outlineLevel="1">
      <c r="B126" s="47" t="s">
        <v>76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37">
        <f t="shared" ref="O126:AH126" si="513">AVERAGE(O122:O125)</f>
        <v>3938.761655834131</v>
      </c>
      <c r="P126" s="38">
        <f t="shared" si="513"/>
        <v>3070.3452564861996</v>
      </c>
      <c r="Q126" s="38">
        <f t="shared" si="513"/>
        <v>3796.4170332549202</v>
      </c>
      <c r="R126" s="38">
        <f t="shared" si="513"/>
        <v>3329.3604133639492</v>
      </c>
      <c r="S126" s="37">
        <f t="shared" si="513"/>
        <v>5307.4642529252205</v>
      </c>
      <c r="T126" s="38">
        <f t="shared" si="513"/>
        <v>4524.1795222526162</v>
      </c>
      <c r="U126" s="38">
        <f t="shared" si="513"/>
        <v>3939.6417354453624</v>
      </c>
      <c r="V126" s="38">
        <f t="shared" si="513"/>
        <v>5006.0503149125479</v>
      </c>
      <c r="W126" s="37">
        <f t="shared" si="513"/>
        <v>6199.5710099449789</v>
      </c>
      <c r="X126" s="38">
        <f t="shared" si="513"/>
        <v>10780.161679854087</v>
      </c>
      <c r="Y126" s="38">
        <f t="shared" si="513"/>
        <v>589.91788021779234</v>
      </c>
      <c r="Z126" s="38">
        <f t="shared" si="513"/>
        <v>-1107.2868015834676</v>
      </c>
      <c r="AA126" s="37">
        <f t="shared" si="513"/>
        <v>-4958.848352738386</v>
      </c>
      <c r="AB126" s="38">
        <f t="shared" si="513"/>
        <v>1597.2292809673938</v>
      </c>
      <c r="AC126" s="38">
        <f t="shared" si="513"/>
        <v>-1177.1370388921096</v>
      </c>
      <c r="AD126" s="38">
        <f t="shared" si="513"/>
        <v>-3217.0002199045834</v>
      </c>
      <c r="AE126" s="37">
        <f t="shared" si="513"/>
        <v>4724.4312407494936</v>
      </c>
      <c r="AF126" s="38">
        <f t="shared" si="513"/>
        <v>5531.8598383862945</v>
      </c>
      <c r="AG126" s="38">
        <f t="shared" si="513"/>
        <v>4863.206746640044</v>
      </c>
      <c r="AH126" s="38">
        <f t="shared" si="513"/>
        <v>3753.9027509761463</v>
      </c>
      <c r="AI126" s="37">
        <f>AVERAGE(AI122:AI125)</f>
        <v>5561.3889883844113</v>
      </c>
      <c r="AJ126" s="38">
        <f t="shared" ref="AJ126:AL126" si="514">AVERAGE(AJ122:AJ125)</f>
        <v>3988.9077042737936</v>
      </c>
      <c r="AK126" s="38">
        <f t="shared" si="514"/>
        <v>3603.6075761311886</v>
      </c>
      <c r="AL126" s="38">
        <f t="shared" si="514"/>
        <v>4110.7923883336762</v>
      </c>
      <c r="AM126" s="37">
        <f>AVERAGE(AM122:AM125)</f>
        <v>5143.5043318210801</v>
      </c>
      <c r="AN126" s="38">
        <f t="shared" ref="AN126:AP126" si="515">AVERAGE(AN122:AN125)</f>
        <v>3808.3160435962291</v>
      </c>
      <c r="AO126" s="38">
        <f t="shared" si="515"/>
        <v>2226.4218382238914</v>
      </c>
      <c r="AP126" s="38">
        <f t="shared" si="515"/>
        <v>2384.9020165617299</v>
      </c>
      <c r="AQ126" s="37">
        <f>AVERAGE(AQ122:AQ125)</f>
        <v>4731.5351892080689</v>
      </c>
      <c r="AR126" s="38">
        <f t="shared" ref="AR126:AT126" si="516">AVERAGE(AR122:AR125)</f>
        <v>3379.5351558308416</v>
      </c>
      <c r="AS126" s="38">
        <f t="shared" si="516"/>
        <v>3326.5076146983292</v>
      </c>
      <c r="AT126" s="38">
        <f t="shared" si="516"/>
        <v>2781.3649309293996</v>
      </c>
      <c r="AU126" s="37">
        <f>AVERAGE(AU122:AU125)</f>
        <v>4196.80851158104</v>
      </c>
      <c r="AV126" s="38">
        <f t="shared" ref="AV126:BE126" si="517">AVERAGE(AV122:AV125)</f>
        <v>3451.5240978788843</v>
      </c>
      <c r="AW126" s="38">
        <f t="shared" si="517"/>
        <v>2697.8859472124391</v>
      </c>
      <c r="AX126" s="38">
        <f t="shared" si="517"/>
        <v>2749.5209689220042</v>
      </c>
      <c r="AY126" s="37">
        <f t="shared" si="517"/>
        <v>3751.5597148227012</v>
      </c>
      <c r="AZ126" s="38">
        <f t="shared" si="517"/>
        <v>2845.9836677506587</v>
      </c>
      <c r="BA126" s="39">
        <f t="shared" si="517"/>
        <v>2932.4927927239264</v>
      </c>
      <c r="BB126" s="38">
        <f t="shared" si="517"/>
        <v>2613.6348777012545</v>
      </c>
      <c r="BC126" s="37">
        <f t="shared" si="517"/>
        <v>3679.7133129265408</v>
      </c>
      <c r="BD126" s="38">
        <f t="shared" si="517"/>
        <v>3580.5036956621361</v>
      </c>
      <c r="BE126" s="39">
        <f t="shared" si="517"/>
        <v>2712.225271679943</v>
      </c>
      <c r="BF126" s="38"/>
      <c r="BG126" s="37"/>
      <c r="BH126" s="38"/>
      <c r="BI126" s="38"/>
      <c r="BJ126" s="38"/>
      <c r="BK126" s="23"/>
      <c r="BL126" s="42">
        <f t="shared" si="493"/>
        <v>13563.144230202928</v>
      </c>
      <c r="BM126" s="38">
        <f t="shared" si="494"/>
        <v>14218.942890666638</v>
      </c>
      <c r="BN126" s="38">
        <f t="shared" si="495"/>
        <v>13095.739525594368</v>
      </c>
      <c r="BO126" s="38">
        <f t="shared" si="496"/>
        <v>12143.671052998539</v>
      </c>
      <c r="BP126" s="38">
        <f t="shared" si="497"/>
        <v>9972.4422802686204</v>
      </c>
      <c r="BQ126" s="23"/>
      <c r="BR126" s="38">
        <f t="shared" si="498"/>
        <v>12279.55714421929</v>
      </c>
      <c r="BS126" s="43">
        <f t="shared" si="499"/>
        <v>12586.077157969876</v>
      </c>
      <c r="BT126" s="44">
        <f t="shared" si="500"/>
        <v>3390.786057550732</v>
      </c>
      <c r="BU126" s="44">
        <f t="shared" si="501"/>
        <v>3554.7357226666595</v>
      </c>
      <c r="BV126" s="44">
        <f t="shared" si="502"/>
        <v>3273.9348813985921</v>
      </c>
      <c r="BW126" s="44">
        <f t="shared" si="503"/>
        <v>3035.9177632496348</v>
      </c>
      <c r="BX126" s="44">
        <f t="shared" si="504"/>
        <v>3324.1474267562066</v>
      </c>
      <c r="BY126" s="45">
        <f t="shared" si="505"/>
        <v>3524.8368802351924</v>
      </c>
      <c r="BZ126" s="33"/>
      <c r="CA126" s="46">
        <f t="shared" si="506"/>
        <v>-0.24250175332429702</v>
      </c>
      <c r="CB126" s="46">
        <f t="shared" si="507"/>
        <v>-7.5112723751788568E-2</v>
      </c>
      <c r="CC126" s="46">
        <f t="shared" si="508"/>
        <v>-0.2305387841099269</v>
      </c>
      <c r="CD126" s="46">
        <f t="shared" si="509"/>
        <v>2.4961813374098973E-2</v>
      </c>
      <c r="CE126" s="33"/>
      <c r="CF126" s="46">
        <f t="shared" si="510"/>
        <v>-5.6935813002953695E-2</v>
      </c>
      <c r="CG126" s="33"/>
      <c r="CH126" s="46">
        <f t="shared" si="511"/>
        <v>4.8351521544934384E-2</v>
      </c>
      <c r="CI126" s="46">
        <f t="shared" si="511"/>
        <v>-7.8993450758533146E-2</v>
      </c>
      <c r="CJ126" s="46">
        <f t="shared" si="511"/>
        <v>-7.2700626851588068E-2</v>
      </c>
      <c r="CK126" s="46">
        <f t="shared" si="511"/>
        <v>-0.17879509114287107</v>
      </c>
    </row>
    <row r="127" spans="2:89" s="8" customFormat="1" hidden="1" outlineLevel="1">
      <c r="B127" s="36" t="s">
        <v>77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>
        <f t="shared" ref="O127:AH127" si="518">AVERAGE(O115:O119,O122:O125)</f>
        <v>4476.844870937799</v>
      </c>
      <c r="P127" s="38">
        <f t="shared" si="518"/>
        <v>3518.5960961823248</v>
      </c>
      <c r="Q127" s="38">
        <f t="shared" si="518"/>
        <v>4566.6140124705944</v>
      </c>
      <c r="R127" s="38">
        <f t="shared" si="518"/>
        <v>3938.030280011481</v>
      </c>
      <c r="S127" s="37">
        <f t="shared" si="518"/>
        <v>6016.6270948469582</v>
      </c>
      <c r="T127" s="38">
        <f t="shared" si="518"/>
        <v>5653.6531958447322</v>
      </c>
      <c r="U127" s="38">
        <f t="shared" si="518"/>
        <v>4948.6911507920104</v>
      </c>
      <c r="V127" s="38">
        <f t="shared" si="518"/>
        <v>5843.7714930922066</v>
      </c>
      <c r="W127" s="37">
        <f t="shared" si="518"/>
        <v>7427.371753729366</v>
      </c>
      <c r="X127" s="38">
        <f t="shared" si="518"/>
        <v>8876.0156299452829</v>
      </c>
      <c r="Y127" s="38">
        <f t="shared" si="518"/>
        <v>2284.8974550816724</v>
      </c>
      <c r="Z127" s="38">
        <f t="shared" si="518"/>
        <v>-3855.3004255938004</v>
      </c>
      <c r="AA127" s="37">
        <f t="shared" si="518"/>
        <v>-1229.6931322768946</v>
      </c>
      <c r="AB127" s="38">
        <f t="shared" si="518"/>
        <v>2336.5859803627723</v>
      </c>
      <c r="AC127" s="38">
        <f t="shared" si="518"/>
        <v>1271.5736104154589</v>
      </c>
      <c r="AD127" s="38">
        <f t="shared" si="518"/>
        <v>-7709.3750824642184</v>
      </c>
      <c r="AE127" s="37">
        <f t="shared" si="518"/>
        <v>6486.1916625553295</v>
      </c>
      <c r="AF127" s="38">
        <f t="shared" si="518"/>
        <v>7219.4932615050202</v>
      </c>
      <c r="AG127" s="38">
        <f t="shared" si="518"/>
        <v>6319.9807762844639</v>
      </c>
      <c r="AH127" s="38">
        <f t="shared" si="518"/>
        <v>4729.623444878287</v>
      </c>
      <c r="AI127" s="37">
        <f>AVERAGE(AI115:AI119,AI122:AI125)</f>
        <v>6740.6173281708507</v>
      </c>
      <c r="AJ127" s="38">
        <f t="shared" ref="AJ127:BE127" si="519">AVERAGE(AJ115:AJ119,AJ122:AJ125)</f>
        <v>4455.9589796772416</v>
      </c>
      <c r="AK127" s="38">
        <f t="shared" si="519"/>
        <v>4529.1589227249733</v>
      </c>
      <c r="AL127" s="38">
        <f t="shared" si="519"/>
        <v>4370.1299503705222</v>
      </c>
      <c r="AM127" s="37">
        <f t="shared" si="519"/>
        <v>6007.1130363649245</v>
      </c>
      <c r="AN127" s="38">
        <f t="shared" si="519"/>
        <v>4744.0293527094354</v>
      </c>
      <c r="AO127" s="38">
        <f t="shared" si="519"/>
        <v>3021.5208169883963</v>
      </c>
      <c r="AP127" s="38">
        <f t="shared" si="519"/>
        <v>2944.2897851385469</v>
      </c>
      <c r="AQ127" s="37">
        <f t="shared" si="519"/>
        <v>5807.3489729813637</v>
      </c>
      <c r="AR127" s="38">
        <f t="shared" si="519"/>
        <v>4009.2378470359295</v>
      </c>
      <c r="AS127" s="38">
        <f t="shared" si="519"/>
        <v>4298.4478287548136</v>
      </c>
      <c r="AT127" s="38">
        <f t="shared" si="519"/>
        <v>3785.9399693019554</v>
      </c>
      <c r="AU127" s="37">
        <f t="shared" si="519"/>
        <v>5268.2482273693504</v>
      </c>
      <c r="AV127" s="38">
        <f t="shared" si="519"/>
        <v>4583.899599057283</v>
      </c>
      <c r="AW127" s="38">
        <f t="shared" si="519"/>
        <v>3718.7270876499729</v>
      </c>
      <c r="AX127" s="38">
        <f t="shared" si="519"/>
        <v>3786.4537639653345</v>
      </c>
      <c r="AY127" s="37">
        <f t="shared" si="519"/>
        <v>4882.915428810089</v>
      </c>
      <c r="AZ127" s="38">
        <f t="shared" si="519"/>
        <v>4185.9557041854778</v>
      </c>
      <c r="BA127" s="39">
        <f t="shared" si="519"/>
        <v>4127.1079078773009</v>
      </c>
      <c r="BB127" s="38">
        <f t="shared" si="519"/>
        <v>3516.0599456450018</v>
      </c>
      <c r="BC127" s="37">
        <f t="shared" si="519"/>
        <v>5116.3170279673523</v>
      </c>
      <c r="BD127" s="38">
        <f t="shared" si="519"/>
        <v>4553.0016425165049</v>
      </c>
      <c r="BE127" s="39">
        <f t="shared" si="519"/>
        <v>3752.9890096355302</v>
      </c>
      <c r="BF127" s="38"/>
      <c r="BG127" s="37"/>
      <c r="BH127" s="38"/>
      <c r="BI127" s="38"/>
      <c r="BJ127" s="38"/>
      <c r="BK127" s="23"/>
      <c r="BL127" s="42">
        <f t="shared" si="493"/>
        <v>16716.952991201302</v>
      </c>
      <c r="BM127" s="38">
        <f t="shared" si="494"/>
        <v>17900.974618074062</v>
      </c>
      <c r="BN127" s="38">
        <f t="shared" si="495"/>
        <v>17357.32867804194</v>
      </c>
      <c r="BO127" s="38">
        <f t="shared" si="496"/>
        <v>16712.038986517866</v>
      </c>
      <c r="BP127" s="38">
        <f t="shared" si="497"/>
        <v>13422.307680119387</v>
      </c>
      <c r="BQ127" s="23"/>
      <c r="BR127" s="38">
        <f t="shared" si="498"/>
        <v>16982.432804838201</v>
      </c>
      <c r="BS127" s="43">
        <f t="shared" si="499"/>
        <v>16938.367625764389</v>
      </c>
      <c r="BT127" s="44">
        <f t="shared" si="500"/>
        <v>4179.2382478003256</v>
      </c>
      <c r="BU127" s="44">
        <f t="shared" si="501"/>
        <v>4475.2436545185155</v>
      </c>
      <c r="BV127" s="44">
        <f t="shared" si="502"/>
        <v>4339.3321695104851</v>
      </c>
      <c r="BW127" s="44">
        <f t="shared" si="503"/>
        <v>4178.0097466294665</v>
      </c>
      <c r="BX127" s="44">
        <f t="shared" si="504"/>
        <v>4474.1025600397961</v>
      </c>
      <c r="BY127" s="45">
        <f t="shared" si="505"/>
        <v>4475.1126875119371</v>
      </c>
      <c r="BZ127" s="33"/>
      <c r="CA127" s="46">
        <f t="shared" si="506"/>
        <v>-0.17571103542119459</v>
      </c>
      <c r="CB127" s="46">
        <f t="shared" si="507"/>
        <v>-9.0649168035490391E-2</v>
      </c>
      <c r="CC127" s="46">
        <f t="shared" si="508"/>
        <v>-0.16136435622985201</v>
      </c>
      <c r="CD127" s="46">
        <f t="shared" si="509"/>
        <v>-2.5947506803182252E-3</v>
      </c>
      <c r="CE127" s="33"/>
      <c r="CF127" s="46">
        <f t="shared" si="510"/>
        <v>-2.2572112540530931E-4</v>
      </c>
      <c r="CG127" s="33"/>
      <c r="CH127" s="46">
        <f t="shared" si="511"/>
        <v>7.0827598037510153E-2</v>
      </c>
      <c r="CI127" s="46">
        <f t="shared" si="511"/>
        <v>-3.0369628002445137E-2</v>
      </c>
      <c r="CJ127" s="46">
        <f t="shared" si="511"/>
        <v>-3.7176785869153073E-2</v>
      </c>
      <c r="CK127" s="46">
        <f t="shared" si="511"/>
        <v>-0.19684799138228493</v>
      </c>
    </row>
    <row r="128" spans="2:89" collapsed="1"/>
    <row r="130" spans="2:14">
      <c r="B130" s="14" t="s">
        <v>116</v>
      </c>
      <c r="C130" s="75">
        <v>2006</v>
      </c>
      <c r="D130" s="75">
        <v>2007</v>
      </c>
      <c r="E130" s="75">
        <v>2008</v>
      </c>
      <c r="F130" s="75">
        <v>2009</v>
      </c>
      <c r="G130" s="75">
        <v>2010</v>
      </c>
      <c r="H130" s="75">
        <v>2011</v>
      </c>
      <c r="I130" s="75">
        <v>2012</v>
      </c>
      <c r="J130" s="75">
        <v>2013</v>
      </c>
      <c r="K130" s="75">
        <v>2014</v>
      </c>
      <c r="L130" s="75" t="s">
        <v>115</v>
      </c>
      <c r="M130" s="2"/>
      <c r="N130" s="2"/>
    </row>
    <row r="131" spans="2:14">
      <c r="B131" s="8" t="s">
        <v>66</v>
      </c>
      <c r="C131" s="77">
        <f>'Financial Data'!E26</f>
        <v>838201</v>
      </c>
      <c r="D131" s="77">
        <f>'Financial Data'!F26</f>
        <v>1119796</v>
      </c>
      <c r="E131" s="77">
        <f>'Financial Data'!G26</f>
        <v>884547</v>
      </c>
      <c r="F131" s="77">
        <f>'Financial Data'!H26</f>
        <v>848942</v>
      </c>
      <c r="G131" s="77">
        <f>'Financial Data'!I26</f>
        <v>911332</v>
      </c>
      <c r="H131" s="77">
        <f>'Financial Data'!J26</f>
        <v>923225</v>
      </c>
      <c r="I131" s="77">
        <f>'Financial Data'!K26</f>
        <v>938555</v>
      </c>
      <c r="J131" s="77">
        <f>'Financial Data'!L26</f>
        <v>911507</v>
      </c>
      <c r="K131" s="77">
        <f>'Financial Data'!M26</f>
        <v>855842</v>
      </c>
      <c r="L131" s="77">
        <f>'Financial Data'!N26</f>
        <v>880559</v>
      </c>
      <c r="M131" s="87"/>
      <c r="N131" s="2"/>
    </row>
    <row r="132" spans="2:14">
      <c r="B132" s="8" t="s">
        <v>67</v>
      </c>
      <c r="C132" s="77">
        <f>'Financial Data'!E28</f>
        <v>1121192</v>
      </c>
      <c r="D132" s="77">
        <f>'Financial Data'!F28</f>
        <v>1045409</v>
      </c>
      <c r="E132" s="77">
        <f>'Financial Data'!G28</f>
        <v>676764</v>
      </c>
      <c r="F132" s="77">
        <f>'Financial Data'!H28</f>
        <v>771462</v>
      </c>
      <c r="G132" s="77">
        <f>'Financial Data'!I28</f>
        <v>807698</v>
      </c>
      <c r="H132" s="77">
        <f>'Financial Data'!J28</f>
        <v>749898</v>
      </c>
      <c r="I132" s="77">
        <f>'Financial Data'!K28</f>
        <v>780960</v>
      </c>
      <c r="J132" s="77">
        <f>'Financial Data'!L28</f>
        <v>832702</v>
      </c>
      <c r="K132" s="77">
        <f>'Financial Data'!M28</f>
        <v>801510</v>
      </c>
      <c r="L132" s="77">
        <f>'Financial Data'!N28</f>
        <v>834113</v>
      </c>
      <c r="M132" s="87"/>
      <c r="N132" s="2"/>
    </row>
    <row r="133" spans="2:14">
      <c r="B133" s="8" t="s">
        <v>68</v>
      </c>
      <c r="C133" s="77">
        <f>'Financial Data'!E24</f>
        <v>1459737</v>
      </c>
      <c r="D133" s="77">
        <f>'Financial Data'!F24</f>
        <v>1715746</v>
      </c>
      <c r="E133" s="77">
        <f>'Financial Data'!G24</f>
        <v>1817943</v>
      </c>
      <c r="F133" s="77">
        <f>'Financial Data'!H24</f>
        <v>2230232</v>
      </c>
      <c r="G133" s="77">
        <f>'Financial Data'!I24</f>
        <v>2264909</v>
      </c>
      <c r="H133" s="77">
        <f>'Financial Data'!J24</f>
        <v>2129046</v>
      </c>
      <c r="I133" s="77">
        <f>'Financial Data'!K24</f>
        <v>2209974</v>
      </c>
      <c r="J133" s="77">
        <f>'Financial Data'!L24</f>
        <v>2102273</v>
      </c>
      <c r="K133" s="77">
        <f>'Financial Data'!M24</f>
        <v>2104534</v>
      </c>
      <c r="L133" s="77">
        <f>'Financial Data'!N24</f>
        <v>2153006</v>
      </c>
      <c r="M133" s="87"/>
      <c r="N133" s="2"/>
    </row>
    <row r="134" spans="2:14">
      <c r="B134" s="8" t="s">
        <v>69</v>
      </c>
      <c r="C134" s="77">
        <f>'Financial Data'!E25</f>
        <v>1884167</v>
      </c>
      <c r="D134" s="77">
        <f>'Financial Data'!F25</f>
        <v>2187480</v>
      </c>
      <c r="E134" s="77">
        <f>'Financial Data'!G25</f>
        <v>1938470</v>
      </c>
      <c r="F134" s="77">
        <f>'Financial Data'!H25</f>
        <v>1856646</v>
      </c>
      <c r="G134" s="77">
        <f>'Financial Data'!I25</f>
        <v>1913692</v>
      </c>
      <c r="H134" s="77">
        <f>'Financial Data'!J25</f>
        <v>1873597</v>
      </c>
      <c r="I134" s="77">
        <f>'Financial Data'!K25</f>
        <v>1864328</v>
      </c>
      <c r="J134" s="77">
        <f>'Financial Data'!L25</f>
        <v>1880035</v>
      </c>
      <c r="K134" s="77">
        <f>'Financial Data'!M25</f>
        <v>1842181</v>
      </c>
      <c r="L134" s="77">
        <f>'Financial Data'!N25</f>
        <v>1808356</v>
      </c>
      <c r="M134" s="87"/>
      <c r="N134" s="2"/>
    </row>
    <row r="135" spans="2:14">
      <c r="B135" s="78" t="s">
        <v>70</v>
      </c>
      <c r="C135" s="79">
        <f>'Financial Data'!E27</f>
        <v>1351520</v>
      </c>
      <c r="D135" s="79">
        <f>'Financial Data'!F27</f>
        <v>1562147</v>
      </c>
      <c r="E135" s="79">
        <f>'Financial Data'!G27</f>
        <v>2175052</v>
      </c>
      <c r="F135" s="79">
        <f>'Financial Data'!H27</f>
        <v>2031989</v>
      </c>
      <c r="G135" s="79">
        <f>'Financial Data'!I27</f>
        <v>2117605</v>
      </c>
      <c r="H135" s="79">
        <f>'Financial Data'!J27</f>
        <v>2265792</v>
      </c>
      <c r="I135" s="79">
        <f>'Financial Data'!K27</f>
        <v>2359141</v>
      </c>
      <c r="J135" s="79">
        <f>'Financial Data'!L27</f>
        <v>2415689</v>
      </c>
      <c r="K135" s="79">
        <f>'Financial Data'!M27</f>
        <v>2572773</v>
      </c>
      <c r="L135" s="79">
        <f>'Financial Data'!N27</f>
        <v>2417121</v>
      </c>
      <c r="M135" s="87"/>
      <c r="N135" s="2"/>
    </row>
    <row r="136" spans="2:14">
      <c r="B136" s="8" t="s">
        <v>106</v>
      </c>
      <c r="C136" s="77">
        <f>SUM(C131:C135)</f>
        <v>6654817</v>
      </c>
      <c r="D136" s="77">
        <f t="shared" ref="D136:L136" si="520">SUM(D131:D135)</f>
        <v>7630578</v>
      </c>
      <c r="E136" s="77">
        <f t="shared" si="520"/>
        <v>7492776</v>
      </c>
      <c r="F136" s="77">
        <f t="shared" si="520"/>
        <v>7739271</v>
      </c>
      <c r="G136" s="77">
        <f t="shared" si="520"/>
        <v>8015236</v>
      </c>
      <c r="H136" s="77">
        <f t="shared" si="520"/>
        <v>7941558</v>
      </c>
      <c r="I136" s="77">
        <f t="shared" si="520"/>
        <v>8152958</v>
      </c>
      <c r="J136" s="77">
        <f t="shared" si="520"/>
        <v>8142206</v>
      </c>
      <c r="K136" s="77">
        <f t="shared" si="520"/>
        <v>8176840</v>
      </c>
      <c r="L136" s="77">
        <f t="shared" si="520"/>
        <v>8093155</v>
      </c>
      <c r="M136" s="87"/>
      <c r="N136" s="2"/>
    </row>
    <row r="137" spans="2:14">
      <c r="M137" s="2"/>
      <c r="N137" s="2"/>
    </row>
    <row r="138" spans="2:14">
      <c r="B138" s="14" t="s">
        <v>117</v>
      </c>
      <c r="C138" s="75">
        <v>2006</v>
      </c>
      <c r="D138" s="75">
        <v>2007</v>
      </c>
      <c r="E138" s="75">
        <v>2008</v>
      </c>
      <c r="F138" s="75">
        <v>2009</v>
      </c>
      <c r="G138" s="75">
        <v>2010</v>
      </c>
      <c r="H138" s="75">
        <v>2011</v>
      </c>
      <c r="I138" s="75">
        <v>2012</v>
      </c>
      <c r="J138" s="75">
        <v>2013</v>
      </c>
      <c r="K138" s="75">
        <v>2014</v>
      </c>
      <c r="L138" s="75" t="s">
        <v>115</v>
      </c>
      <c r="M138" s="2"/>
      <c r="N138" s="2"/>
    </row>
    <row r="139" spans="2:14">
      <c r="B139" s="8" t="s">
        <v>66</v>
      </c>
      <c r="C139" s="77">
        <f>'Financial Data'!E40</f>
        <v>35786</v>
      </c>
      <c r="D139" s="77">
        <f>'Financial Data'!F40</f>
        <v>42800</v>
      </c>
      <c r="E139" s="77">
        <f>'Financial Data'!G40</f>
        <v>65496</v>
      </c>
      <c r="F139" s="77">
        <f>'Financial Data'!H40</f>
        <v>71674</v>
      </c>
      <c r="G139" s="77">
        <f>'Financial Data'!I40</f>
        <v>78228</v>
      </c>
      <c r="H139" s="77">
        <f>'Financial Data'!J40</f>
        <v>71829</v>
      </c>
      <c r="I139" s="77">
        <f>'Financial Data'!K40</f>
        <v>76224</v>
      </c>
      <c r="J139" s="77">
        <f>'Financial Data'!L40</f>
        <v>78793</v>
      </c>
      <c r="K139" s="77">
        <f>'Financial Data'!M40</f>
        <v>83201</v>
      </c>
      <c r="L139" s="77">
        <f>'Financial Data'!N40</f>
        <v>88121</v>
      </c>
      <c r="M139" s="87"/>
      <c r="N139" s="2"/>
    </row>
    <row r="140" spans="2:14">
      <c r="B140" s="8" t="s">
        <v>67</v>
      </c>
      <c r="C140" s="77">
        <f>'Financial Data'!E42</f>
        <v>35364</v>
      </c>
      <c r="D140" s="77">
        <f>'Financial Data'!F42</f>
        <v>32897</v>
      </c>
      <c r="E140" s="77">
        <f>'Financial Data'!G42</f>
        <v>49456</v>
      </c>
      <c r="F140" s="77">
        <f>'Financial Data'!H42</f>
        <v>52780</v>
      </c>
      <c r="G140" s="77">
        <f>'Financial Data'!I42</f>
        <v>65407</v>
      </c>
      <c r="H140" s="77">
        <f>'Financial Data'!J42</f>
        <v>70078</v>
      </c>
      <c r="I140" s="77">
        <f>'Financial Data'!K42</f>
        <v>65428</v>
      </c>
      <c r="J140" s="77">
        <f>'Financial Data'!L42</f>
        <v>69030</v>
      </c>
      <c r="K140" s="77">
        <f>'Financial Data'!M42</f>
        <v>72104</v>
      </c>
      <c r="L140" s="77">
        <f>'Financial Data'!N42</f>
        <v>76420</v>
      </c>
      <c r="M140" s="87"/>
      <c r="N140" s="2"/>
    </row>
    <row r="141" spans="2:14">
      <c r="B141" s="8" t="s">
        <v>68</v>
      </c>
      <c r="C141" s="77">
        <f>'Financial Data'!E38</f>
        <v>135272</v>
      </c>
      <c r="D141" s="77">
        <f>'Financial Data'!F38</f>
        <v>146803</v>
      </c>
      <c r="E141" s="77">
        <f>'Financial Data'!G38</f>
        <v>177052</v>
      </c>
      <c r="F141" s="77">
        <f>'Financial Data'!H38</f>
        <v>231444</v>
      </c>
      <c r="G141" s="77">
        <f>'Financial Data'!I38</f>
        <v>228248</v>
      </c>
      <c r="H141" s="77">
        <f>'Financial Data'!J38</f>
        <v>230101</v>
      </c>
      <c r="I141" s="77">
        <f>'Financial Data'!K38</f>
        <v>236956</v>
      </c>
      <c r="J141" s="77">
        <f>'Financial Data'!L38</f>
        <v>232685</v>
      </c>
      <c r="K141" s="77">
        <f>'Financial Data'!M38</f>
        <v>243471</v>
      </c>
      <c r="L141" s="77">
        <f>'Financial Data'!N38</f>
        <v>255905</v>
      </c>
      <c r="M141" s="87"/>
      <c r="N141" s="2"/>
    </row>
    <row r="142" spans="2:14">
      <c r="B142" s="8" t="s">
        <v>69</v>
      </c>
      <c r="C142" s="77">
        <f>'Financial Data'!E39</f>
        <v>122345</v>
      </c>
      <c r="D142" s="77">
        <f>'Financial Data'!F39</f>
        <v>118755</v>
      </c>
      <c r="E142" s="77">
        <f>'Financial Data'!G39</f>
        <v>144022</v>
      </c>
      <c r="F142" s="77">
        <f>'Financial Data'!H39</f>
        <v>154973</v>
      </c>
      <c r="G142" s="77">
        <f>'Financial Data'!I39</f>
        <v>165579</v>
      </c>
      <c r="H142" s="77">
        <f>'Financial Data'!J39</f>
        <v>179292</v>
      </c>
      <c r="I142" s="77">
        <f>'Financial Data'!K39</f>
        <v>190665</v>
      </c>
      <c r="J142" s="77">
        <f>'Financial Data'!L39</f>
        <v>205786</v>
      </c>
      <c r="K142" s="77">
        <f>'Financial Data'!M39</f>
        <v>211696</v>
      </c>
      <c r="L142" s="77">
        <f>'Financial Data'!N39</f>
        <v>222137</v>
      </c>
      <c r="M142" s="87"/>
      <c r="N142" s="2"/>
    </row>
    <row r="143" spans="2:14">
      <c r="B143" s="78" t="s">
        <v>70</v>
      </c>
      <c r="C143" s="79">
        <f>'Financial Data'!E41</f>
        <v>115790</v>
      </c>
      <c r="D143" s="79">
        <f>'Financial Data'!F41</f>
        <v>123221</v>
      </c>
      <c r="E143" s="79">
        <f>'Financial Data'!G41</f>
        <v>166884</v>
      </c>
      <c r="F143" s="79">
        <f>'Financial Data'!H41</f>
        <v>165365</v>
      </c>
      <c r="G143" s="79">
        <f>'Financial Data'!I41</f>
        <v>176106</v>
      </c>
      <c r="H143" s="79">
        <f>'Financial Data'!J41</f>
        <v>183573</v>
      </c>
      <c r="I143" s="79">
        <f>'Financial Data'!K41</f>
        <v>204069</v>
      </c>
      <c r="J143" s="79">
        <f>'Financial Data'!L41</f>
        <v>211178</v>
      </c>
      <c r="K143" s="79">
        <f>'Financial Data'!M41</f>
        <v>231727</v>
      </c>
      <c r="L143" s="79">
        <f>'Financial Data'!N41</f>
        <v>245728</v>
      </c>
      <c r="M143" s="87"/>
      <c r="N143" s="2"/>
    </row>
    <row r="144" spans="2:14">
      <c r="B144" s="8" t="s">
        <v>106</v>
      </c>
      <c r="C144" s="77">
        <f>SUM(C139:C143)</f>
        <v>444557</v>
      </c>
      <c r="D144" s="77">
        <f t="shared" ref="D144:L144" si="521">SUM(D139:D143)</f>
        <v>464476</v>
      </c>
      <c r="E144" s="77">
        <f t="shared" si="521"/>
        <v>602910</v>
      </c>
      <c r="F144" s="77">
        <f t="shared" si="521"/>
        <v>676236</v>
      </c>
      <c r="G144" s="77">
        <f t="shared" si="521"/>
        <v>713568</v>
      </c>
      <c r="H144" s="77">
        <f t="shared" si="521"/>
        <v>734873</v>
      </c>
      <c r="I144" s="77">
        <f t="shared" si="521"/>
        <v>773342</v>
      </c>
      <c r="J144" s="77">
        <f t="shared" si="521"/>
        <v>797472</v>
      </c>
      <c r="K144" s="77">
        <f t="shared" si="521"/>
        <v>842199</v>
      </c>
      <c r="L144" s="77">
        <f t="shared" si="521"/>
        <v>888311</v>
      </c>
      <c r="M144" s="87"/>
      <c r="N144" s="2"/>
    </row>
    <row r="145" spans="2:14">
      <c r="M145" s="2"/>
      <c r="N145" s="2"/>
    </row>
    <row r="146" spans="2:14">
      <c r="B146" s="14" t="s">
        <v>118</v>
      </c>
      <c r="C146" s="75">
        <v>2006</v>
      </c>
      <c r="D146" s="75">
        <v>2007</v>
      </c>
      <c r="E146" s="75">
        <v>2008</v>
      </c>
      <c r="F146" s="75">
        <v>2009</v>
      </c>
      <c r="G146" s="75">
        <v>2010</v>
      </c>
      <c r="H146" s="75">
        <v>2011</v>
      </c>
      <c r="I146" s="75">
        <v>2012</v>
      </c>
      <c r="J146" s="75">
        <v>2013</v>
      </c>
      <c r="K146" s="75">
        <v>2014</v>
      </c>
      <c r="L146" s="75" t="s">
        <v>115</v>
      </c>
      <c r="M146" s="2"/>
      <c r="N146" s="2"/>
    </row>
    <row r="147" spans="2:14">
      <c r="B147" s="8" t="s">
        <v>66</v>
      </c>
      <c r="C147" s="80">
        <f>C131/C139</f>
        <v>23.422595428379815</v>
      </c>
      <c r="D147" s="80">
        <f t="shared" ref="D147:L147" si="522">D131/D139</f>
        <v>26.163457943925234</v>
      </c>
      <c r="E147" s="80">
        <f t="shared" si="522"/>
        <v>13.505359105899597</v>
      </c>
      <c r="F147" s="80">
        <f t="shared" si="522"/>
        <v>11.844490331221921</v>
      </c>
      <c r="G147" s="80">
        <f t="shared" si="522"/>
        <v>11.649690647849875</v>
      </c>
      <c r="H147" s="80">
        <f t="shared" si="522"/>
        <v>12.853095546367067</v>
      </c>
      <c r="I147" s="80">
        <f t="shared" si="522"/>
        <v>12.313116603694375</v>
      </c>
      <c r="J147" s="80">
        <f t="shared" si="522"/>
        <v>11.568375363293693</v>
      </c>
      <c r="K147" s="80">
        <f t="shared" si="522"/>
        <v>10.286438864917489</v>
      </c>
      <c r="L147" s="80">
        <f t="shared" si="522"/>
        <v>9.99261243063515</v>
      </c>
      <c r="M147" s="88"/>
      <c r="N147" s="2"/>
    </row>
    <row r="148" spans="2:14">
      <c r="B148" s="8" t="s">
        <v>67</v>
      </c>
      <c r="C148" s="80">
        <f t="shared" ref="C148:L151" si="523">C132/C140</f>
        <v>31.70433208913019</v>
      </c>
      <c r="D148" s="80">
        <f t="shared" si="523"/>
        <v>31.778247256588745</v>
      </c>
      <c r="E148" s="80">
        <f t="shared" si="523"/>
        <v>13.684163701067616</v>
      </c>
      <c r="F148" s="80">
        <f t="shared" si="523"/>
        <v>14.6165593027662</v>
      </c>
      <c r="G148" s="80">
        <f t="shared" si="523"/>
        <v>12.348800587093125</v>
      </c>
      <c r="H148" s="80">
        <f t="shared" si="523"/>
        <v>10.700904706184538</v>
      </c>
      <c r="I148" s="80">
        <f t="shared" si="523"/>
        <v>11.936174115057774</v>
      </c>
      <c r="J148" s="80">
        <f t="shared" si="523"/>
        <v>12.062900188323917</v>
      </c>
      <c r="K148" s="80">
        <f t="shared" si="523"/>
        <v>11.116026850105403</v>
      </c>
      <c r="L148" s="80">
        <f t="shared" si="523"/>
        <v>10.914852132949489</v>
      </c>
      <c r="M148" s="88"/>
      <c r="N148" s="2"/>
    </row>
    <row r="149" spans="2:14">
      <c r="B149" s="8" t="s">
        <v>68</v>
      </c>
      <c r="C149" s="80">
        <f t="shared" si="523"/>
        <v>10.791124549056715</v>
      </c>
      <c r="D149" s="80">
        <f t="shared" si="523"/>
        <v>11.687404208360865</v>
      </c>
      <c r="E149" s="80">
        <f t="shared" si="523"/>
        <v>10.26784786390439</v>
      </c>
      <c r="F149" s="80">
        <f t="shared" si="523"/>
        <v>9.6361625274364417</v>
      </c>
      <c r="G149" s="80">
        <f t="shared" si="523"/>
        <v>9.923017945392731</v>
      </c>
      <c r="H149" s="80">
        <f t="shared" si="523"/>
        <v>9.252658615129878</v>
      </c>
      <c r="I149" s="80">
        <f t="shared" si="523"/>
        <v>9.3265163152652821</v>
      </c>
      <c r="J149" s="80">
        <f t="shared" si="523"/>
        <v>9.0348453918387523</v>
      </c>
      <c r="K149" s="80">
        <f t="shared" si="523"/>
        <v>8.6438795585511219</v>
      </c>
      <c r="L149" s="80">
        <f t="shared" si="523"/>
        <v>8.4133018112190072</v>
      </c>
      <c r="M149" s="88"/>
      <c r="N149" s="2"/>
    </row>
    <row r="150" spans="2:14">
      <c r="B150" s="8" t="s">
        <v>69</v>
      </c>
      <c r="C150" s="80">
        <f t="shared" si="523"/>
        <v>15.400441374800769</v>
      </c>
      <c r="D150" s="80">
        <f t="shared" si="523"/>
        <v>18.420108627005177</v>
      </c>
      <c r="E150" s="80">
        <f t="shared" si="523"/>
        <v>13.45954090347308</v>
      </c>
      <c r="F150" s="80">
        <f t="shared" si="523"/>
        <v>11.980448207107045</v>
      </c>
      <c r="G150" s="80">
        <f t="shared" si="523"/>
        <v>11.557576745843374</v>
      </c>
      <c r="H150" s="80">
        <f t="shared" si="523"/>
        <v>10.449975459027732</v>
      </c>
      <c r="I150" s="80">
        <f t="shared" si="523"/>
        <v>9.7780295282301424</v>
      </c>
      <c r="J150" s="80">
        <f t="shared" si="523"/>
        <v>9.1358741605357014</v>
      </c>
      <c r="K150" s="80">
        <f t="shared" si="523"/>
        <v>8.7020113748016019</v>
      </c>
      <c r="L150" s="80">
        <f t="shared" si="523"/>
        <v>8.1407239676415912</v>
      </c>
      <c r="M150" s="88"/>
      <c r="N150" s="2"/>
    </row>
    <row r="151" spans="2:14">
      <c r="B151" s="78" t="s">
        <v>70</v>
      </c>
      <c r="C151" s="81">
        <f t="shared" si="523"/>
        <v>11.672165126522152</v>
      </c>
      <c r="D151" s="81">
        <f t="shared" si="523"/>
        <v>12.677603655221107</v>
      </c>
      <c r="E151" s="81">
        <f t="shared" si="523"/>
        <v>13.033316555212004</v>
      </c>
      <c r="F151" s="81">
        <f t="shared" si="523"/>
        <v>12.287902518670819</v>
      </c>
      <c r="G151" s="81">
        <f t="shared" si="523"/>
        <v>12.024604499562763</v>
      </c>
      <c r="H151" s="81">
        <f t="shared" si="523"/>
        <v>12.342730140053275</v>
      </c>
      <c r="I151" s="81">
        <f t="shared" si="523"/>
        <v>11.560506495352062</v>
      </c>
      <c r="J151" s="81">
        <f t="shared" si="523"/>
        <v>11.439112975783463</v>
      </c>
      <c r="K151" s="81">
        <f t="shared" si="523"/>
        <v>11.102603494629456</v>
      </c>
      <c r="L151" s="81">
        <f t="shared" si="523"/>
        <v>9.8365713309024621</v>
      </c>
      <c r="M151" s="88"/>
      <c r="N151" s="2"/>
    </row>
    <row r="152" spans="2:14">
      <c r="B152" s="8" t="s">
        <v>119</v>
      </c>
      <c r="C152" s="82">
        <f>AVERAGE(C147:C151)</f>
        <v>18.598131713577924</v>
      </c>
      <c r="D152" s="82">
        <f t="shared" ref="D152:L152" si="524">AVERAGE(D147:D151)</f>
        <v>20.145364338220226</v>
      </c>
      <c r="E152" s="82">
        <f t="shared" si="524"/>
        <v>12.790045625911336</v>
      </c>
      <c r="F152" s="82">
        <f t="shared" si="524"/>
        <v>12.073112577440487</v>
      </c>
      <c r="G152" s="82">
        <f t="shared" si="524"/>
        <v>11.500738085148374</v>
      </c>
      <c r="H152" s="82">
        <f t="shared" si="524"/>
        <v>11.119872893352497</v>
      </c>
      <c r="I152" s="82">
        <f t="shared" si="524"/>
        <v>10.982868611519928</v>
      </c>
      <c r="J152" s="82">
        <f t="shared" si="524"/>
        <v>10.648221615955105</v>
      </c>
      <c r="K152" s="82">
        <f t="shared" si="524"/>
        <v>9.9701920286010139</v>
      </c>
      <c r="L152" s="82">
        <f t="shared" si="524"/>
        <v>9.45961233466954</v>
      </c>
      <c r="M152" s="82"/>
      <c r="N152" s="2"/>
    </row>
    <row r="153" spans="2:14">
      <c r="M153" s="2"/>
      <c r="N153" s="2"/>
    </row>
    <row r="154" spans="2:14">
      <c r="B154" s="14" t="s">
        <v>120</v>
      </c>
      <c r="C154" s="75">
        <v>2006</v>
      </c>
      <c r="D154" s="75">
        <v>2007</v>
      </c>
      <c r="E154" s="75">
        <v>2008</v>
      </c>
      <c r="F154" s="75">
        <v>2009</v>
      </c>
      <c r="G154" s="75">
        <v>2010</v>
      </c>
      <c r="H154" s="75">
        <v>2011</v>
      </c>
      <c r="I154" s="75">
        <v>2012</v>
      </c>
      <c r="J154" s="75">
        <v>2013</v>
      </c>
      <c r="K154" s="75">
        <v>2014</v>
      </c>
      <c r="L154" s="75" t="s">
        <v>115</v>
      </c>
      <c r="M154" s="2"/>
      <c r="N154" s="2"/>
    </row>
    <row r="155" spans="2:14">
      <c r="B155" s="8" t="s">
        <v>66</v>
      </c>
      <c r="C155" s="77">
        <f>'Financial Data'!E93</f>
        <v>32.805082379223698</v>
      </c>
      <c r="D155" s="77">
        <f>'Financial Data'!F93</f>
        <v>32.723256547806898</v>
      </c>
      <c r="E155" s="77">
        <f>'Financial Data'!G93</f>
        <v>4.8583670554629803</v>
      </c>
      <c r="F155" s="77">
        <f>'Financial Data'!H93</f>
        <v>22.509415848164799</v>
      </c>
      <c r="G155" s="77">
        <f>'Financial Data'!I93</f>
        <v>11.4606240713224</v>
      </c>
      <c r="H155" s="77">
        <f>'Financial Data'!J93</f>
        <v>3.6526092144707398</v>
      </c>
      <c r="I155" s="77">
        <f>'Financial Data'!K93</f>
        <v>10.7018110305556</v>
      </c>
      <c r="J155" s="77">
        <f>'Financial Data'!L93</f>
        <v>10.9649309547125</v>
      </c>
      <c r="K155" s="77">
        <f>'Financial Data'!M93</f>
        <v>11.178619868796201</v>
      </c>
      <c r="L155" s="77">
        <f>'Financial Data'!N93</f>
        <v>8.7953242190079894</v>
      </c>
      <c r="M155" s="87"/>
      <c r="N155" s="2"/>
    </row>
    <row r="156" spans="2:14">
      <c r="B156" s="8" t="s">
        <v>67</v>
      </c>
      <c r="C156" s="77">
        <f>'Financial Data'!E95</f>
        <v>23.481411468179001</v>
      </c>
      <c r="D156" s="77">
        <f>'Financial Data'!F95</f>
        <v>8.4461472967220104</v>
      </c>
      <c r="E156" s="77">
        <f>'Financial Data'!G95</f>
        <v>4.8856209150326801</v>
      </c>
      <c r="F156" s="77">
        <f>'Financial Data'!H95</f>
        <v>-2.6623224139955401</v>
      </c>
      <c r="G156" s="77">
        <f>'Financial Data'!I95</f>
        <v>8.4766150145050592</v>
      </c>
      <c r="H156" s="77">
        <f>'Financial Data'!J95</f>
        <v>3.8008900003677701</v>
      </c>
      <c r="I156" s="77">
        <f>'Financial Data'!K95</f>
        <v>-4.93193923850858E-2</v>
      </c>
      <c r="J156" s="77">
        <f>'Financial Data'!L95</f>
        <v>4.2895225785604696</v>
      </c>
      <c r="K156" s="77">
        <f>'Financial Data'!M95</f>
        <v>4.8281355309110996</v>
      </c>
      <c r="L156" s="77">
        <f>'Financial Data'!N95</f>
        <v>9.82744990483042</v>
      </c>
      <c r="M156" s="87"/>
      <c r="N156" s="2"/>
    </row>
    <row r="157" spans="2:14">
      <c r="B157" s="8" t="s">
        <v>68</v>
      </c>
      <c r="C157" s="77">
        <f>'Financial Data'!E91</f>
        <v>16.267636565387299</v>
      </c>
      <c r="D157" s="77">
        <f>'Financial Data'!F91</f>
        <v>11.000711317434799</v>
      </c>
      <c r="E157" s="77">
        <f>'Financial Data'!G91</f>
        <v>1.7558847202022101</v>
      </c>
      <c r="F157" s="77">
        <f>'Financial Data'!H91</f>
        <v>-1.21236724304397</v>
      </c>
      <c r="G157" s="77">
        <f>'Financial Data'!I91</f>
        <v>-1.6921659159512099</v>
      </c>
      <c r="H157" s="77">
        <f>'Financial Data'!J91</f>
        <v>3.9677103949288903E-2</v>
      </c>
      <c r="I157" s="77">
        <f>'Financial Data'!K91</f>
        <v>1.2709911703441501</v>
      </c>
      <c r="J157" s="77">
        <f>'Financial Data'!L91</f>
        <v>4.6139480381566198</v>
      </c>
      <c r="K157" s="77">
        <f>'Financial Data'!M91</f>
        <v>1.69860041422718</v>
      </c>
      <c r="L157" s="77">
        <f>'Financial Data'!N91</f>
        <v>7.0173377251114397</v>
      </c>
      <c r="M157" s="87"/>
      <c r="N157" s="2"/>
    </row>
    <row r="158" spans="2:14">
      <c r="B158" s="8" t="s">
        <v>69</v>
      </c>
      <c r="C158" s="77">
        <f>'Financial Data'!E92</f>
        <v>18.295020515567501</v>
      </c>
      <c r="D158" s="77">
        <f>'Financial Data'!F92</f>
        <v>2.70613659265207</v>
      </c>
      <c r="E158" s="77">
        <f>'Financial Data'!G92</f>
        <v>-28.8239484734356</v>
      </c>
      <c r="F158" s="77">
        <f>'Financial Data'!H92</f>
        <v>-9.2484045851921497</v>
      </c>
      <c r="G158" s="77">
        <f>'Financial Data'!I92</f>
        <v>6.6975637372021799</v>
      </c>
      <c r="H158" s="77">
        <f>'Financial Data'!J92</f>
        <v>6.22407327394997</v>
      </c>
      <c r="I158" s="77">
        <f>'Financial Data'!K92</f>
        <v>3.9880375261166998</v>
      </c>
      <c r="J158" s="77">
        <f>'Financial Data'!L92</f>
        <v>6.8752583527267399</v>
      </c>
      <c r="K158" s="77">
        <f>'Financial Data'!M92</f>
        <v>3.3257437454274399</v>
      </c>
      <c r="L158" s="77">
        <f>'Financial Data'!N92</f>
        <v>8.6579722248371809</v>
      </c>
      <c r="M158" s="87"/>
      <c r="N158" s="2"/>
    </row>
    <row r="159" spans="2:14">
      <c r="B159" s="78" t="s">
        <v>70</v>
      </c>
      <c r="C159" s="79">
        <f>'Financial Data'!E94</f>
        <v>13.044617288634701</v>
      </c>
      <c r="D159" s="79">
        <f>'Financial Data'!F94</f>
        <v>12.570437067796499</v>
      </c>
      <c r="E159" s="79">
        <f>'Financial Data'!G94</f>
        <v>3.6726664394807802</v>
      </c>
      <c r="F159" s="79">
        <f>'Financial Data'!H94</f>
        <v>6.0135843676963496</v>
      </c>
      <c r="G159" s="79">
        <f>'Financial Data'!I94</f>
        <v>9.7597820703318501</v>
      </c>
      <c r="H159" s="79">
        <f>'Financial Data'!J94</f>
        <v>10.139323352533101</v>
      </c>
      <c r="I159" s="79">
        <f>'Financial Data'!K94</f>
        <v>10.782090782850201</v>
      </c>
      <c r="J159" s="79">
        <f>'Financial Data'!L94</f>
        <v>8.4481872011975003</v>
      </c>
      <c r="K159" s="79">
        <f>'Financial Data'!M94</f>
        <v>9.6798457087753107</v>
      </c>
      <c r="L159" s="79">
        <f>'Financial Data'!N94</f>
        <v>10.882127068086501</v>
      </c>
      <c r="M159" s="87"/>
      <c r="N159" s="2"/>
    </row>
    <row r="160" spans="2:14">
      <c r="B160" s="8" t="s">
        <v>119</v>
      </c>
      <c r="C160" s="77">
        <f>AVERAGE(C155:C159)</f>
        <v>20.778753643398439</v>
      </c>
      <c r="D160" s="77">
        <f t="shared" ref="D160:L160" si="525">AVERAGE(D155:D159)</f>
        <v>13.489337764482457</v>
      </c>
      <c r="E160" s="77">
        <f t="shared" si="525"/>
        <v>-2.7302818686513897</v>
      </c>
      <c r="F160" s="77">
        <f t="shared" si="525"/>
        <v>3.0799811947258977</v>
      </c>
      <c r="G160" s="77">
        <f t="shared" si="525"/>
        <v>6.9404837954820549</v>
      </c>
      <c r="H160" s="77">
        <f t="shared" si="525"/>
        <v>4.7713145890541737</v>
      </c>
      <c r="I160" s="77">
        <f t="shared" si="525"/>
        <v>5.3387222234963136</v>
      </c>
      <c r="J160" s="77">
        <f t="shared" si="525"/>
        <v>7.0383694250707647</v>
      </c>
      <c r="K160" s="77">
        <f t="shared" si="525"/>
        <v>6.1421890536274457</v>
      </c>
      <c r="L160" s="77">
        <f t="shared" si="525"/>
        <v>9.0360422283747059</v>
      </c>
      <c r="M160" s="87"/>
      <c r="N160" s="2"/>
    </row>
    <row r="161" spans="2:14">
      <c r="M161" s="2"/>
      <c r="N161" s="2"/>
    </row>
    <row r="162" spans="2:14">
      <c r="B162" s="14" t="s">
        <v>122</v>
      </c>
      <c r="C162" s="75">
        <v>2006</v>
      </c>
      <c r="D162" s="75">
        <v>2007</v>
      </c>
      <c r="E162" s="75">
        <v>2008</v>
      </c>
      <c r="F162" s="75">
        <v>2009</v>
      </c>
      <c r="G162" s="75">
        <v>2010</v>
      </c>
      <c r="H162" s="75">
        <v>2011</v>
      </c>
      <c r="I162" s="75">
        <v>2012</v>
      </c>
      <c r="J162" s="75">
        <v>2013</v>
      </c>
      <c r="K162" s="75">
        <v>2014</v>
      </c>
      <c r="L162" s="75" t="s">
        <v>115</v>
      </c>
      <c r="M162" s="2"/>
      <c r="N162" s="2"/>
    </row>
    <row r="163" spans="2:14">
      <c r="B163" s="8" t="s">
        <v>66</v>
      </c>
      <c r="C163" s="84">
        <f>'Financial Data'!E13</f>
        <v>37665</v>
      </c>
      <c r="D163" s="84">
        <f>'Financial Data'!F13</f>
        <v>45987</v>
      </c>
      <c r="E163" s="84">
        <f>'Financial Data'!G13</f>
        <v>22222</v>
      </c>
      <c r="F163" s="84">
        <f>'Financial Data'!H13</f>
        <v>45173</v>
      </c>
      <c r="G163" s="84">
        <f>'Financial Data'!I13</f>
        <v>39161</v>
      </c>
      <c r="H163" s="84">
        <f>'Financial Data'!J13</f>
        <v>28811</v>
      </c>
      <c r="I163" s="84">
        <f>'Financial Data'!K13</f>
        <v>34163</v>
      </c>
      <c r="J163" s="84">
        <f>'Financial Data'!L13</f>
        <v>34206</v>
      </c>
      <c r="K163" s="84">
        <f>'Financial Data'!M13</f>
        <v>34528</v>
      </c>
      <c r="L163" s="84">
        <f>'Financial Data'!N13</f>
        <v>26547</v>
      </c>
      <c r="M163" s="89"/>
      <c r="N163" s="2"/>
    </row>
    <row r="164" spans="2:14">
      <c r="B164" s="8" t="s">
        <v>67</v>
      </c>
      <c r="C164" s="84">
        <f>'Financial Data'!E15</f>
        <v>29799</v>
      </c>
      <c r="D164" s="84">
        <f>'Financial Data'!F15</f>
        <v>27607</v>
      </c>
      <c r="E164" s="84">
        <f>'Financial Data'!G15</f>
        <v>22140</v>
      </c>
      <c r="F164" s="84">
        <f>'Financial Data'!H15</f>
        <v>23183</v>
      </c>
      <c r="G164" s="84">
        <f>'Financial Data'!I15</f>
        <v>31221</v>
      </c>
      <c r="H164" s="84">
        <f>'Financial Data'!J15</f>
        <v>32227</v>
      </c>
      <c r="I164" s="84">
        <f>'Financial Data'!K15</f>
        <v>26178</v>
      </c>
      <c r="J164" s="84">
        <f>'Financial Data'!L15</f>
        <v>32493</v>
      </c>
      <c r="K164" s="84">
        <f>'Financial Data'!M15</f>
        <v>34275</v>
      </c>
      <c r="L164" s="84">
        <f>'Financial Data'!N15</f>
        <v>27417</v>
      </c>
      <c r="M164" s="89"/>
      <c r="N164" s="2"/>
    </row>
    <row r="165" spans="2:14">
      <c r="B165" s="8" t="s">
        <v>68</v>
      </c>
      <c r="C165" s="84">
        <f>'Financial Data'!E11</f>
        <v>72776</v>
      </c>
      <c r="D165" s="84">
        <f>'Financial Data'!F11</f>
        <v>66833</v>
      </c>
      <c r="E165" s="84">
        <f>'Financial Data'!G11</f>
        <v>72782</v>
      </c>
      <c r="F165" s="84">
        <f>'Financial Data'!H11</f>
        <v>119643</v>
      </c>
      <c r="G165" s="84">
        <f>'Financial Data'!I11</f>
        <v>110220</v>
      </c>
      <c r="H165" s="84">
        <f>'Financial Data'!J11</f>
        <v>93454</v>
      </c>
      <c r="I165" s="84">
        <f>'Financial Data'!K11</f>
        <v>83334</v>
      </c>
      <c r="J165" s="84">
        <f>'Financial Data'!L11</f>
        <v>88942</v>
      </c>
      <c r="K165" s="84">
        <f>'Financial Data'!M11</f>
        <v>84247</v>
      </c>
      <c r="L165" s="84">
        <f>'Financial Data'!N11</f>
        <v>64001</v>
      </c>
      <c r="M165" s="89"/>
      <c r="N165" s="2"/>
    </row>
    <row r="166" spans="2:14">
      <c r="B166" s="8" t="s">
        <v>69</v>
      </c>
      <c r="C166" s="84">
        <f>'Financial Data'!E12</f>
        <v>86327</v>
      </c>
      <c r="D166" s="84">
        <f>'Financial Data'!F12</f>
        <v>77300</v>
      </c>
      <c r="E166" s="84">
        <f>'Financial Data'!G12</f>
        <v>51195</v>
      </c>
      <c r="F166" s="84">
        <f>'Financial Data'!H12</f>
        <v>81032</v>
      </c>
      <c r="G166" s="84">
        <f>'Financial Data'!I12</f>
        <v>87127</v>
      </c>
      <c r="H166" s="84">
        <f>'Financial Data'!J12</f>
        <v>78967</v>
      </c>
      <c r="I166" s="84">
        <f>'Financial Data'!K12</f>
        <v>70792</v>
      </c>
      <c r="J166" s="84">
        <f>'Financial Data'!L12</f>
        <v>77856</v>
      </c>
      <c r="K166" s="84">
        <f>'Financial Data'!M12</f>
        <v>78257</v>
      </c>
      <c r="L166" s="84">
        <f>'Financial Data'!N12</f>
        <v>58747</v>
      </c>
      <c r="M166" s="89"/>
      <c r="N166" s="2"/>
    </row>
    <row r="167" spans="2:14">
      <c r="B167" s="78" t="s">
        <v>70</v>
      </c>
      <c r="C167" s="85">
        <f>'Financial Data'!E14</f>
        <v>61999</v>
      </c>
      <c r="D167" s="85">
        <f>'Financial Data'!F14</f>
        <v>71372</v>
      </c>
      <c r="E167" s="85">
        <f>'Financial Data'!G14</f>
        <v>67252</v>
      </c>
      <c r="F167" s="85">
        <f>'Financial Data'!H14</f>
        <v>100434</v>
      </c>
      <c r="G167" s="85">
        <f>'Financial Data'!I14</f>
        <v>102694</v>
      </c>
      <c r="H167" s="85">
        <f>'Financial Data'!J14</f>
        <v>97234</v>
      </c>
      <c r="I167" s="85">
        <f>'Financial Data'!K14</f>
        <v>97031</v>
      </c>
      <c r="J167" s="85">
        <f>'Financial Data'!L14</f>
        <v>96606</v>
      </c>
      <c r="K167" s="85">
        <f>'Financial Data'!M14</f>
        <v>95112</v>
      </c>
      <c r="L167" s="85">
        <f>'Financial Data'!N14</f>
        <v>70658</v>
      </c>
      <c r="M167" s="89"/>
      <c r="N167" s="2"/>
    </row>
    <row r="168" spans="2:14">
      <c r="B168" s="8" t="s">
        <v>106</v>
      </c>
      <c r="C168" s="84">
        <f>SUM(C163:C167)</f>
        <v>288566</v>
      </c>
      <c r="D168" s="84">
        <f t="shared" ref="D168:L168" si="526">SUM(D163:D167)</f>
        <v>289099</v>
      </c>
      <c r="E168" s="84">
        <f t="shared" si="526"/>
        <v>235591</v>
      </c>
      <c r="F168" s="84">
        <f t="shared" si="526"/>
        <v>369465</v>
      </c>
      <c r="G168" s="84">
        <f t="shared" si="526"/>
        <v>370423</v>
      </c>
      <c r="H168" s="84">
        <f t="shared" si="526"/>
        <v>330693</v>
      </c>
      <c r="I168" s="84">
        <f t="shared" si="526"/>
        <v>311498</v>
      </c>
      <c r="J168" s="84">
        <f t="shared" si="526"/>
        <v>330103</v>
      </c>
      <c r="K168" s="84">
        <f t="shared" si="526"/>
        <v>326419</v>
      </c>
      <c r="L168" s="84">
        <f t="shared" si="526"/>
        <v>247370</v>
      </c>
      <c r="M168" s="89"/>
      <c r="N168" s="2"/>
    </row>
    <row r="169" spans="2:14">
      <c r="M169" s="2"/>
      <c r="N169" s="2"/>
    </row>
    <row r="170" spans="2:14">
      <c r="B170" s="14" t="s">
        <v>121</v>
      </c>
      <c r="C170" s="75">
        <v>2006</v>
      </c>
      <c r="D170" s="75">
        <v>2007</v>
      </c>
      <c r="E170" s="75">
        <v>2008</v>
      </c>
      <c r="F170" s="75">
        <v>2009</v>
      </c>
      <c r="G170" s="75">
        <v>2010</v>
      </c>
      <c r="H170" s="75">
        <v>2011</v>
      </c>
      <c r="I170" s="75">
        <v>2012</v>
      </c>
      <c r="J170" s="75">
        <v>2013</v>
      </c>
      <c r="K170" s="75">
        <v>2014</v>
      </c>
      <c r="L170" s="75" t="s">
        <v>115</v>
      </c>
      <c r="M170" s="2"/>
      <c r="N170" s="2"/>
    </row>
    <row r="171" spans="2:14">
      <c r="B171" s="8" t="s">
        <v>66</v>
      </c>
      <c r="C171" s="83">
        <f>D70/C163</f>
        <v>0.37865392273994425</v>
      </c>
      <c r="D171" s="83">
        <f t="shared" ref="D171:L171" si="527">E70/D163</f>
        <v>0.34788817129478622</v>
      </c>
      <c r="E171" s="83">
        <f t="shared" si="527"/>
        <v>0.1378363783637836</v>
      </c>
      <c r="F171" s="83">
        <f t="shared" si="527"/>
        <v>0.51467321925338883</v>
      </c>
      <c r="G171" s="83">
        <f t="shared" si="527"/>
        <v>0.34595643625035111</v>
      </c>
      <c r="H171" s="83">
        <f t="shared" si="527"/>
        <v>0.29960778869181909</v>
      </c>
      <c r="I171" s="83">
        <f t="shared" si="527"/>
        <v>0.30246172760003515</v>
      </c>
      <c r="J171" s="83">
        <f t="shared" si="527"/>
        <v>0.25317195813599952</v>
      </c>
      <c r="K171" s="83">
        <f t="shared" si="527"/>
        <v>0.23740152919369786</v>
      </c>
      <c r="L171" s="83">
        <f t="shared" si="527"/>
        <v>0.22341507514973444</v>
      </c>
      <c r="M171" s="2"/>
      <c r="N171" s="2"/>
    </row>
    <row r="172" spans="2:14">
      <c r="B172" s="8" t="s">
        <v>67</v>
      </c>
      <c r="C172" s="83">
        <f>D71/C164</f>
        <v>0.31178898620759088</v>
      </c>
      <c r="D172" s="83">
        <f t="shared" ref="D172:L172" si="528">E71/D164</f>
        <v>-1.7097113051037779E-2</v>
      </c>
      <c r="E172" s="83">
        <f t="shared" si="528"/>
        <v>-6.9150858175248422E-2</v>
      </c>
      <c r="F172" s="83">
        <f t="shared" si="528"/>
        <v>0.26704913082862441</v>
      </c>
      <c r="G172" s="83">
        <f t="shared" si="528"/>
        <v>0.21062746228500048</v>
      </c>
      <c r="H172" s="83">
        <f t="shared" si="528"/>
        <v>0.17336394948335246</v>
      </c>
      <c r="I172" s="83">
        <f t="shared" si="528"/>
        <v>0.2150660860264344</v>
      </c>
      <c r="J172" s="83">
        <f t="shared" si="528"/>
        <v>0.12916628196842397</v>
      </c>
      <c r="K172" s="83">
        <f t="shared" si="528"/>
        <v>0.12431801604668126</v>
      </c>
      <c r="L172" s="83">
        <f t="shared" si="528"/>
        <v>0.136885873727979</v>
      </c>
      <c r="M172" s="2"/>
      <c r="N172" s="2"/>
    </row>
    <row r="173" spans="2:14">
      <c r="B173" s="8" t="s">
        <v>68</v>
      </c>
      <c r="C173" s="83">
        <f>D72/C165</f>
        <v>0.17077058370891501</v>
      </c>
      <c r="D173" s="83">
        <f t="shared" ref="D173:L173" si="529">E72/D165</f>
        <v>-0.30230075960478608</v>
      </c>
      <c r="E173" s="83">
        <f t="shared" si="529"/>
        <v>-0.64237952607329663</v>
      </c>
      <c r="F173" s="83">
        <f t="shared" si="529"/>
        <v>0.15720936452613191</v>
      </c>
      <c r="G173" s="83">
        <f t="shared" si="529"/>
        <v>0.1152240972600254</v>
      </c>
      <c r="H173" s="83">
        <f t="shared" si="529"/>
        <v>8.6727159886147195E-2</v>
      </c>
      <c r="I173" s="83">
        <f t="shared" si="529"/>
        <v>0.13208294333645332</v>
      </c>
      <c r="J173" s="83">
        <f t="shared" si="529"/>
        <v>0.10278608531402487</v>
      </c>
      <c r="K173" s="83">
        <f t="shared" si="529"/>
        <v>0.10717295571355656</v>
      </c>
      <c r="L173" s="83">
        <f t="shared" si="529"/>
        <v>0.10799831252636677</v>
      </c>
      <c r="M173" s="2"/>
      <c r="N173" s="2"/>
    </row>
    <row r="174" spans="2:14">
      <c r="B174" s="8" t="s">
        <v>69</v>
      </c>
      <c r="C174" s="83">
        <f>D73/C166</f>
        <v>0.16812816384213514</v>
      </c>
      <c r="D174" s="83">
        <f t="shared" ref="D174:L174" si="530">E73/D166</f>
        <v>-8.9788702026735626E-2</v>
      </c>
      <c r="E174" s="83">
        <f t="shared" si="530"/>
        <v>-0.53626330696357061</v>
      </c>
      <c r="F174" s="83">
        <f t="shared" si="530"/>
        <v>0.26529025570145126</v>
      </c>
      <c r="G174" s="83">
        <f t="shared" si="530"/>
        <v>0.16371503667060727</v>
      </c>
      <c r="H174" s="83">
        <f t="shared" si="530"/>
        <v>0.13790570744741473</v>
      </c>
      <c r="I174" s="83">
        <f t="shared" si="530"/>
        <v>0.19948581760650921</v>
      </c>
      <c r="J174" s="83">
        <f t="shared" si="530"/>
        <v>0.17028873818331278</v>
      </c>
      <c r="K174" s="83">
        <f t="shared" si="530"/>
        <v>0.15523211981036841</v>
      </c>
      <c r="L174" s="83">
        <f t="shared" si="530"/>
        <v>0.15527601409433672</v>
      </c>
      <c r="M174" s="2"/>
      <c r="N174" s="2"/>
    </row>
    <row r="175" spans="2:14">
      <c r="B175" s="78" t="s">
        <v>70</v>
      </c>
      <c r="C175" s="86">
        <f>D74/C167</f>
        <v>0.20124211680833562</v>
      </c>
      <c r="D175" s="86">
        <f t="shared" ref="D175:L175" si="531">E74/D167</f>
        <v>9.1991803508378642E-2</v>
      </c>
      <c r="E175" s="86">
        <f t="shared" si="531"/>
        <v>1.8140724439421874E-2</v>
      </c>
      <c r="F175" s="86">
        <f t="shared" si="531"/>
        <v>0.20192365135312743</v>
      </c>
      <c r="G175" s="86">
        <f t="shared" si="531"/>
        <v>0.14341636317603754</v>
      </c>
      <c r="H175" s="86">
        <f t="shared" si="531"/>
        <v>0.15199415842195116</v>
      </c>
      <c r="I175" s="86">
        <f t="shared" si="531"/>
        <v>0.15883583596994774</v>
      </c>
      <c r="J175" s="86">
        <f t="shared" si="531"/>
        <v>0.16096308717885016</v>
      </c>
      <c r="K175" s="86">
        <f t="shared" si="531"/>
        <v>0.1428386183306698</v>
      </c>
      <c r="L175" s="86">
        <f t="shared" si="531"/>
        <v>0.14178153924537915</v>
      </c>
      <c r="M175" s="2"/>
      <c r="N175" s="2"/>
    </row>
    <row r="176" spans="2:14">
      <c r="B176" s="8" t="s">
        <v>119</v>
      </c>
      <c r="C176" s="90">
        <f>AVERAGE(C171:C175)</f>
        <v>0.24611675466138419</v>
      </c>
      <c r="D176" s="90">
        <f t="shared" ref="D176:L176" si="532">AVERAGE(D171:D175)</f>
        <v>6.1386800241210737E-3</v>
      </c>
      <c r="E176" s="90">
        <f t="shared" si="532"/>
        <v>-0.21836331768178208</v>
      </c>
      <c r="F176" s="90">
        <f t="shared" si="532"/>
        <v>0.28122912433254477</v>
      </c>
      <c r="G176" s="90">
        <f t="shared" si="532"/>
        <v>0.19578787912840437</v>
      </c>
      <c r="H176" s="90">
        <f t="shared" si="532"/>
        <v>0.16991975278613694</v>
      </c>
      <c r="I176" s="90">
        <f t="shared" si="532"/>
        <v>0.20158648210787597</v>
      </c>
      <c r="J176" s="90">
        <f t="shared" si="532"/>
        <v>0.16327523015612228</v>
      </c>
      <c r="K176" s="90">
        <f t="shared" si="532"/>
        <v>0.15339264781899478</v>
      </c>
      <c r="L176" s="90">
        <f t="shared" si="532"/>
        <v>0.15307136294875923</v>
      </c>
      <c r="M176" s="2"/>
      <c r="N176" s="2"/>
    </row>
    <row r="177" spans="2:13">
      <c r="B177" s="47" t="s">
        <v>123</v>
      </c>
      <c r="C177" s="92">
        <f>SUM(D70:D74)/SUM(C163:C167)</f>
        <v>0.21822324875418447</v>
      </c>
      <c r="D177" s="92">
        <f t="shared" ref="D177:L177" si="533">SUM(E70:E74)/SUM(D163:D167)</f>
        <v>-1.747623132560126E-2</v>
      </c>
      <c r="E177" s="92">
        <f t="shared" si="533"/>
        <v>-0.30330388965056676</v>
      </c>
      <c r="F177" s="92">
        <f t="shared" si="533"/>
        <v>0.24366674335412916</v>
      </c>
      <c r="G177" s="92">
        <f t="shared" si="533"/>
        <v>0.16687948642497902</v>
      </c>
      <c r="H177" s="92">
        <f t="shared" si="533"/>
        <v>0.1451285633502977</v>
      </c>
      <c r="I177" s="92">
        <f t="shared" si="533"/>
        <v>0.18139442307815781</v>
      </c>
      <c r="J177" s="92">
        <f t="shared" si="533"/>
        <v>0.15391256668373204</v>
      </c>
      <c r="K177" s="92">
        <f t="shared" si="533"/>
        <v>0.14466273919920919</v>
      </c>
      <c r="L177" s="92">
        <f t="shared" si="533"/>
        <v>0.14446375874196549</v>
      </c>
    </row>
    <row r="179" spans="2:13">
      <c r="B179" s="14" t="s">
        <v>124</v>
      </c>
      <c r="C179" s="75">
        <v>2006</v>
      </c>
      <c r="D179" s="75">
        <v>2007</v>
      </c>
      <c r="E179" s="75">
        <v>2008</v>
      </c>
      <c r="F179" s="75">
        <v>2009</v>
      </c>
      <c r="G179" s="75">
        <v>2010</v>
      </c>
      <c r="H179" s="75">
        <v>2011</v>
      </c>
      <c r="I179" s="75">
        <v>2012</v>
      </c>
      <c r="J179" s="75">
        <v>2013</v>
      </c>
      <c r="K179" s="75">
        <v>2014</v>
      </c>
      <c r="L179" s="75" t="s">
        <v>115</v>
      </c>
    </row>
    <row r="180" spans="2:13">
      <c r="B180" s="8" t="s">
        <v>66</v>
      </c>
      <c r="C180" s="83">
        <f>D100/C163</f>
        <v>0.60387627771140318</v>
      </c>
      <c r="D180" s="83">
        <f t="shared" ref="D180:L180" si="534">E100/D163</f>
        <v>0.59188466305695087</v>
      </c>
      <c r="E180" s="83">
        <f t="shared" si="534"/>
        <v>0.53748537485374859</v>
      </c>
      <c r="F180" s="83">
        <f t="shared" si="534"/>
        <v>0.73966750049808516</v>
      </c>
      <c r="G180" s="83">
        <f t="shared" si="534"/>
        <v>0.55149255636985772</v>
      </c>
      <c r="H180" s="83">
        <f t="shared" si="534"/>
        <v>0.58047273610773664</v>
      </c>
      <c r="I180" s="83">
        <f t="shared" si="534"/>
        <v>0.53683809969850427</v>
      </c>
      <c r="J180" s="83">
        <f t="shared" si="534"/>
        <v>0.4620826755539964</v>
      </c>
      <c r="K180" s="83">
        <f t="shared" si="534"/>
        <v>0.42814527340129749</v>
      </c>
      <c r="L180" s="83">
        <f t="shared" si="534"/>
        <v>0.4501450258032923</v>
      </c>
    </row>
    <row r="181" spans="2:13">
      <c r="B181" s="8" t="s">
        <v>67</v>
      </c>
      <c r="C181" s="83">
        <f t="shared" ref="C181:C184" si="535">D101/C164</f>
        <v>0.52256787140508065</v>
      </c>
      <c r="D181" s="83">
        <f t="shared" ref="D181:L181" si="536">E101/D164</f>
        <v>0.29622921722751477</v>
      </c>
      <c r="E181" s="83">
        <f t="shared" si="536"/>
        <v>0.27908762420957545</v>
      </c>
      <c r="F181" s="83">
        <f t="shared" si="536"/>
        <v>0.49514730621576153</v>
      </c>
      <c r="G181" s="83">
        <f t="shared" si="536"/>
        <v>0.36955895070625538</v>
      </c>
      <c r="H181" s="83">
        <f t="shared" si="536"/>
        <v>0.36422875228845381</v>
      </c>
      <c r="I181" s="83">
        <f t="shared" si="536"/>
        <v>0.43803957521583009</v>
      </c>
      <c r="J181" s="83">
        <f t="shared" si="536"/>
        <v>0.33268704028559998</v>
      </c>
      <c r="K181" s="83">
        <f t="shared" si="536"/>
        <v>0.32571845368344277</v>
      </c>
      <c r="L181" s="83">
        <f t="shared" si="536"/>
        <v>0.3669256300835248</v>
      </c>
    </row>
    <row r="182" spans="2:13">
      <c r="B182" s="8" t="s">
        <v>68</v>
      </c>
      <c r="C182" s="83">
        <f t="shared" si="535"/>
        <v>0.28392601956689018</v>
      </c>
      <c r="D182" s="83">
        <f t="shared" ref="D182:L182" si="537">E102/D165</f>
        <v>-0.16355692547094999</v>
      </c>
      <c r="E182" s="83">
        <f t="shared" si="537"/>
        <v>-0.5459042070841692</v>
      </c>
      <c r="F182" s="83">
        <f t="shared" si="537"/>
        <v>0.20022065645294751</v>
      </c>
      <c r="G182" s="83">
        <f t="shared" si="537"/>
        <v>0.1528942115768463</v>
      </c>
      <c r="H182" s="83">
        <f t="shared" si="537"/>
        <v>0.12672544781389775</v>
      </c>
      <c r="I182" s="83">
        <f t="shared" si="537"/>
        <v>0.17128662970696235</v>
      </c>
      <c r="J182" s="83">
        <f t="shared" si="537"/>
        <v>0.15010905983674755</v>
      </c>
      <c r="K182" s="83">
        <f t="shared" si="537"/>
        <v>0.15630230156563438</v>
      </c>
      <c r="L182" s="83">
        <f t="shared" si="537"/>
        <v>0.16246621146544585</v>
      </c>
    </row>
    <row r="183" spans="2:13">
      <c r="B183" s="8" t="s">
        <v>69</v>
      </c>
      <c r="C183" s="83">
        <f t="shared" si="535"/>
        <v>0.21321255227217439</v>
      </c>
      <c r="D183" s="83">
        <f t="shared" ref="D183:L183" si="538">E103/D166</f>
        <v>-3.0271668822768435E-2</v>
      </c>
      <c r="E183" s="83">
        <f t="shared" si="538"/>
        <v>-0.51001074323664408</v>
      </c>
      <c r="F183" s="83">
        <f t="shared" si="538"/>
        <v>0.33418896238523055</v>
      </c>
      <c r="G183" s="83">
        <f t="shared" si="538"/>
        <v>0.20627360060601191</v>
      </c>
      <c r="H183" s="83">
        <f t="shared" si="538"/>
        <v>0.16833614041308395</v>
      </c>
      <c r="I183" s="83">
        <f t="shared" si="538"/>
        <v>0.23429201039665498</v>
      </c>
      <c r="J183" s="83">
        <f t="shared" si="538"/>
        <v>0.20708744348540897</v>
      </c>
      <c r="K183" s="83">
        <f t="shared" si="538"/>
        <v>0.19067942803838633</v>
      </c>
      <c r="L183" s="83">
        <f t="shared" si="538"/>
        <v>0.19582276541780858</v>
      </c>
    </row>
    <row r="184" spans="2:13">
      <c r="B184" s="78" t="s">
        <v>70</v>
      </c>
      <c r="C184" s="83">
        <f t="shared" si="535"/>
        <v>0.28481338408684004</v>
      </c>
      <c r="D184" s="83">
        <f t="shared" ref="D184:L184" si="539">E104/D167</f>
        <v>0.17309268340525696</v>
      </c>
      <c r="E184" s="83">
        <f t="shared" si="539"/>
        <v>7.6295128769404627E-2</v>
      </c>
      <c r="F184" s="83">
        <f t="shared" si="539"/>
        <v>0.25341019973315809</v>
      </c>
      <c r="G184" s="83">
        <f t="shared" si="539"/>
        <v>0.18813173116248272</v>
      </c>
      <c r="H184" s="83">
        <f t="shared" si="539"/>
        <v>0.1981097147088467</v>
      </c>
      <c r="I184" s="83">
        <f t="shared" si="539"/>
        <v>0.20424400449340932</v>
      </c>
      <c r="J184" s="83">
        <f t="shared" si="539"/>
        <v>0.21031819969774135</v>
      </c>
      <c r="K184" s="83">
        <f t="shared" si="539"/>
        <v>0.19527153951832224</v>
      </c>
      <c r="L184" s="83">
        <f t="shared" si="539"/>
        <v>0.20730844348835234</v>
      </c>
    </row>
    <row r="185" spans="2:13">
      <c r="B185" s="8" t="s">
        <v>119</v>
      </c>
      <c r="C185" s="90">
        <f>AVERAGE(C180:C184)</f>
        <v>0.38167922100847773</v>
      </c>
      <c r="D185" s="90">
        <f t="shared" ref="D185:L185" si="540">AVERAGE(D180:D184)</f>
        <v>0.17347559387920083</v>
      </c>
      <c r="E185" s="90">
        <f t="shared" si="540"/>
        <v>-3.2609364497616922E-2</v>
      </c>
      <c r="F185" s="90">
        <f t="shared" si="540"/>
        <v>0.40452692505703658</v>
      </c>
      <c r="G185" s="90">
        <f t="shared" si="540"/>
        <v>0.29367021008429084</v>
      </c>
      <c r="H185" s="90">
        <f t="shared" si="540"/>
        <v>0.28757455826640371</v>
      </c>
      <c r="I185" s="90">
        <f t="shared" si="540"/>
        <v>0.31694006390227225</v>
      </c>
      <c r="J185" s="90">
        <f t="shared" si="540"/>
        <v>0.27245688377189892</v>
      </c>
      <c r="K185" s="90">
        <f t="shared" si="540"/>
        <v>0.25922339924141669</v>
      </c>
      <c r="L185" s="90">
        <f t="shared" si="540"/>
        <v>0.27653361525168474</v>
      </c>
      <c r="M185" s="91"/>
    </row>
    <row r="186" spans="2:13">
      <c r="B186" s="47" t="s">
        <v>123</v>
      </c>
      <c r="C186" s="92">
        <f>SUM(D100:D104)/SUM(C163:C167)</f>
        <v>0.32936709452950103</v>
      </c>
      <c r="D186" s="92">
        <f t="shared" ref="D186:L186" si="541">SUM(E100:E104)/SUM(D163:D167)</f>
        <v>0.11926700196126586</v>
      </c>
      <c r="E186" s="92">
        <f t="shared" si="541"/>
        <v>-0.18077091230140371</v>
      </c>
      <c r="F186" s="92">
        <f t="shared" si="541"/>
        <v>0.32852367612629074</v>
      </c>
      <c r="G186" s="92">
        <f t="shared" si="541"/>
        <v>0.23561981842380197</v>
      </c>
      <c r="H186" s="92">
        <f t="shared" si="541"/>
        <v>0.22032821982926762</v>
      </c>
      <c r="I186" s="92">
        <f t="shared" si="541"/>
        <v>0.25838047114267187</v>
      </c>
      <c r="J186" s="92">
        <f t="shared" si="541"/>
        <v>0.23146714813255256</v>
      </c>
      <c r="K186" s="92">
        <f t="shared" si="541"/>
        <v>0.22244313801177829</v>
      </c>
      <c r="L186" s="92">
        <f t="shared" si="541"/>
        <v>0.23673040384848607</v>
      </c>
      <c r="M186" s="91"/>
    </row>
  </sheetData>
  <mergeCells count="6">
    <mergeCell ref="CH6:CK6"/>
    <mergeCell ref="AI6:BF6"/>
    <mergeCell ref="BL6:BP6"/>
    <mergeCell ref="BR6:BS6"/>
    <mergeCell ref="BT6:BX6"/>
    <mergeCell ref="CA6:CD6"/>
  </mergeCells>
  <pageMargins left="0.7" right="0.7" top="0.75" bottom="0.75" header="0.3" footer="0.3"/>
  <pageSetup paperSize="9" scale="37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9"/>
  <sheetViews>
    <sheetView workbookViewId="0">
      <selection activeCell="A20" sqref="A20"/>
    </sheetView>
  </sheetViews>
  <sheetFormatPr defaultRowHeight="15"/>
  <cols>
    <col min="1" max="1" width="1.7109375" customWidth="1"/>
    <col min="2" max="2" width="26.85546875" bestFit="1" customWidth="1"/>
    <col min="3" max="3" width="18.42578125" bestFit="1" customWidth="1"/>
    <col min="4" max="4" width="7" bestFit="1" customWidth="1"/>
    <col min="5" max="14" width="19.85546875" bestFit="1" customWidth="1"/>
  </cols>
  <sheetData>
    <row r="1" spans="2:14" ht="23.25">
      <c r="B1" s="71" t="s">
        <v>107</v>
      </c>
    </row>
    <row r="2" spans="2:14">
      <c r="B2" t="s">
        <v>108</v>
      </c>
    </row>
    <row r="3" spans="2:14">
      <c r="B3" t="s">
        <v>109</v>
      </c>
      <c r="C3" s="72">
        <v>42354</v>
      </c>
    </row>
    <row r="6" spans="2:14">
      <c r="B6" s="68" t="e">
        <f ca="1">[6]!SNLTable(1,$C$11:$C$15,$D$8:$N$8,,,"Options:Curr=,Mag=,ConvMethod=")</f>
        <v>#NAME?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2:14">
      <c r="B7" s="68" t="e">
        <f ca="1">[6]!SNLLabel(1,130509,"Options:Curr=,Mag=,ConvMethod=")</f>
        <v>#NAME?</v>
      </c>
      <c r="C7" s="68" t="e">
        <f ca="1">[6]!SNLLabel(1,130992,"Options:Curr=,Mag=,ConvMethod=")</f>
        <v>#NAME?</v>
      </c>
      <c r="D7" s="68" t="e">
        <f ca="1">[6]!SNLLabel(1,$D$8,$D$9,$D$10,"Options:Curr=,Mag=,ConvMethod=")</f>
        <v>#NAME?</v>
      </c>
      <c r="E7" s="68" t="e">
        <f ca="1">[6]!SNLLabel(1,$E$8,$E$9,$E$10,"Options:Curr=,Mag=,ConvMethod=")</f>
        <v>#NAME?</v>
      </c>
      <c r="F7" s="68" t="e">
        <f ca="1">[6]!SNLLabel(1,$F$8,$F$9,$F$10,"Options:Curr=,Mag=,ConvMethod=")</f>
        <v>#NAME?</v>
      </c>
      <c r="G7" s="68" t="e">
        <f ca="1">[6]!SNLLabel(1,$G$8,$G$9,$G$10,"Options:Curr=,Mag=,ConvMethod=")</f>
        <v>#NAME?</v>
      </c>
      <c r="H7" s="68" t="e">
        <f ca="1">[6]!SNLLabel(1,$H$8,$H$9,$H$10,"Options:Curr=,Mag=,ConvMethod=")</f>
        <v>#NAME?</v>
      </c>
      <c r="I7" s="68" t="e">
        <f ca="1">[6]!SNLLabel(1,$I$8,$I$9,$I$10,"Options:Curr=,Mag=,ConvMethod=")</f>
        <v>#NAME?</v>
      </c>
      <c r="J7" s="68" t="e">
        <f ca="1">[6]!SNLLabel(1,$J$8,$J$9,$J$10,"Options:Curr=,Mag=,ConvMethod=")</f>
        <v>#NAME?</v>
      </c>
      <c r="K7" s="68" t="e">
        <f ca="1">[6]!SNLLabel(1,$K$8,$K$9,$K$10,"Options:Curr=,Mag=,ConvMethod=")</f>
        <v>#NAME?</v>
      </c>
      <c r="L7" s="68" t="e">
        <f ca="1">[6]!SNLLabel(1,$L$8,$L$9,$L$10,"Options:Curr=,Mag=,ConvMethod=")</f>
        <v>#NAME?</v>
      </c>
      <c r="M7" s="68" t="e">
        <f ca="1">[6]!SNLLabel(1,$M$8,$M$9,$M$10,"Options:Curr=,Mag=,ConvMethod=")</f>
        <v>#NAME?</v>
      </c>
      <c r="N7" s="68" t="e">
        <f ca="1">[6]!SNLLabel(1,$N$8,$N$9,$N$10,"Options:Curr=,Mag=,ConvMethod=")</f>
        <v>#NAME?</v>
      </c>
    </row>
    <row r="8" spans="2:14">
      <c r="B8" s="68"/>
      <c r="C8" s="68"/>
      <c r="D8" s="68">
        <v>131166</v>
      </c>
      <c r="E8" s="68">
        <v>141780</v>
      </c>
      <c r="F8" s="68">
        <v>141780</v>
      </c>
      <c r="G8" s="68">
        <v>141780</v>
      </c>
      <c r="H8" s="68">
        <v>141780</v>
      </c>
      <c r="I8" s="68">
        <v>141780</v>
      </c>
      <c r="J8" s="68">
        <v>141780</v>
      </c>
      <c r="K8" s="68">
        <v>141780</v>
      </c>
      <c r="L8" s="68">
        <v>141780</v>
      </c>
      <c r="M8" s="68">
        <v>141780</v>
      </c>
      <c r="N8" s="68">
        <v>141780</v>
      </c>
    </row>
    <row r="9" spans="2:14">
      <c r="B9" s="55"/>
      <c r="C9" s="55"/>
      <c r="D9" s="55"/>
      <c r="E9" s="55" t="s">
        <v>95</v>
      </c>
      <c r="F9" s="55" t="s">
        <v>96</v>
      </c>
      <c r="G9" s="55" t="s">
        <v>97</v>
      </c>
      <c r="H9" s="55" t="s">
        <v>98</v>
      </c>
      <c r="I9" s="55" t="s">
        <v>99</v>
      </c>
      <c r="J9" s="55" t="s">
        <v>100</v>
      </c>
      <c r="K9" s="55" t="s">
        <v>101</v>
      </c>
      <c r="L9" s="55" t="s">
        <v>102</v>
      </c>
      <c r="M9" s="55" t="s">
        <v>103</v>
      </c>
      <c r="N9" s="55" t="s">
        <v>104</v>
      </c>
    </row>
    <row r="10" spans="2:14">
      <c r="B10" s="55"/>
      <c r="C10" s="55"/>
      <c r="D10" s="55"/>
      <c r="E10" s="55">
        <v>1</v>
      </c>
      <c r="F10" s="55">
        <v>1</v>
      </c>
      <c r="G10" s="55">
        <v>1</v>
      </c>
      <c r="H10" s="55">
        <v>1</v>
      </c>
      <c r="I10" s="55">
        <v>1</v>
      </c>
      <c r="J10" s="55">
        <v>1</v>
      </c>
      <c r="K10" s="55">
        <v>1</v>
      </c>
      <c r="L10" s="55">
        <v>1</v>
      </c>
      <c r="M10" s="55">
        <v>1</v>
      </c>
      <c r="N10" s="55">
        <v>1</v>
      </c>
    </row>
    <row r="11" spans="2:14">
      <c r="B11" s="66" t="s">
        <v>86</v>
      </c>
      <c r="C11" s="66">
        <v>100369</v>
      </c>
      <c r="D11" s="66" t="s">
        <v>87</v>
      </c>
      <c r="E11" s="67">
        <v>72776</v>
      </c>
      <c r="F11" s="67">
        <v>66833</v>
      </c>
      <c r="G11" s="67">
        <v>72782</v>
      </c>
      <c r="H11" s="67">
        <v>119643</v>
      </c>
      <c r="I11" s="67">
        <v>110220</v>
      </c>
      <c r="J11" s="67">
        <v>93454</v>
      </c>
      <c r="K11" s="67">
        <v>83334</v>
      </c>
      <c r="L11" s="67">
        <v>88942</v>
      </c>
      <c r="M11" s="67">
        <v>84247</v>
      </c>
      <c r="N11" s="67">
        <v>64001</v>
      </c>
    </row>
    <row r="12" spans="2:14">
      <c r="B12" s="66" t="s">
        <v>88</v>
      </c>
      <c r="C12" s="66">
        <v>4041896</v>
      </c>
      <c r="D12" s="66" t="s">
        <v>89</v>
      </c>
      <c r="E12" s="67">
        <v>86327</v>
      </c>
      <c r="F12" s="67">
        <v>77300</v>
      </c>
      <c r="G12" s="67">
        <v>51195</v>
      </c>
      <c r="H12" s="67">
        <v>81032</v>
      </c>
      <c r="I12" s="67">
        <v>87127</v>
      </c>
      <c r="J12" s="67">
        <v>78967</v>
      </c>
      <c r="K12" s="67">
        <v>70792</v>
      </c>
      <c r="L12" s="67">
        <v>77856</v>
      </c>
      <c r="M12" s="67">
        <v>78257</v>
      </c>
      <c r="N12" s="67">
        <v>58747</v>
      </c>
    </row>
    <row r="13" spans="2:14">
      <c r="B13" s="66" t="s">
        <v>90</v>
      </c>
      <c r="C13" s="66">
        <v>4039450</v>
      </c>
      <c r="D13" s="66" t="s">
        <v>91</v>
      </c>
      <c r="E13" s="67">
        <v>37665</v>
      </c>
      <c r="F13" s="67">
        <v>45987</v>
      </c>
      <c r="G13" s="67">
        <v>22222</v>
      </c>
      <c r="H13" s="67">
        <v>45173</v>
      </c>
      <c r="I13" s="67">
        <v>39161</v>
      </c>
      <c r="J13" s="67">
        <v>28811</v>
      </c>
      <c r="K13" s="67">
        <v>34163</v>
      </c>
      <c r="L13" s="67">
        <v>34206</v>
      </c>
      <c r="M13" s="67">
        <v>34528</v>
      </c>
      <c r="N13" s="67">
        <v>26547</v>
      </c>
    </row>
    <row r="14" spans="2:14">
      <c r="B14" s="66" t="s">
        <v>92</v>
      </c>
      <c r="C14" s="66">
        <v>100201</v>
      </c>
      <c r="D14" s="66" t="s">
        <v>93</v>
      </c>
      <c r="E14" s="67">
        <v>61999</v>
      </c>
      <c r="F14" s="67">
        <v>71372</v>
      </c>
      <c r="G14" s="67">
        <v>67252</v>
      </c>
      <c r="H14" s="67">
        <v>100434</v>
      </c>
      <c r="I14" s="67">
        <v>102694</v>
      </c>
      <c r="J14" s="67">
        <v>97234</v>
      </c>
      <c r="K14" s="67">
        <v>97031</v>
      </c>
      <c r="L14" s="67">
        <v>96606</v>
      </c>
      <c r="M14" s="67">
        <v>95112</v>
      </c>
      <c r="N14" s="67">
        <v>70658</v>
      </c>
    </row>
    <row r="15" spans="2:14">
      <c r="B15" s="66" t="s">
        <v>67</v>
      </c>
      <c r="C15" s="66">
        <v>103042</v>
      </c>
      <c r="D15" s="66" t="s">
        <v>94</v>
      </c>
      <c r="E15" s="67">
        <v>29799</v>
      </c>
      <c r="F15" s="67">
        <v>27607</v>
      </c>
      <c r="G15" s="67">
        <v>22140</v>
      </c>
      <c r="H15" s="67">
        <v>23183</v>
      </c>
      <c r="I15" s="67">
        <v>31221</v>
      </c>
      <c r="J15" s="67">
        <v>32227</v>
      </c>
      <c r="K15" s="67">
        <v>26178</v>
      </c>
      <c r="L15" s="67">
        <v>32493</v>
      </c>
      <c r="M15" s="67">
        <v>34275</v>
      </c>
      <c r="N15" s="67">
        <v>27417</v>
      </c>
    </row>
    <row r="16" spans="2:14">
      <c r="B16" s="73" t="s">
        <v>106</v>
      </c>
      <c r="E16" s="67">
        <f>SUM(E10:E15)</f>
        <v>288567</v>
      </c>
      <c r="F16" s="67">
        <f t="shared" ref="F16:N16" si="0">SUM(F10:F15)</f>
        <v>289100</v>
      </c>
      <c r="G16" s="67">
        <f t="shared" si="0"/>
        <v>235592</v>
      </c>
      <c r="H16" s="67">
        <f t="shared" si="0"/>
        <v>369466</v>
      </c>
      <c r="I16" s="67">
        <f t="shared" si="0"/>
        <v>370424</v>
      </c>
      <c r="J16" s="67">
        <f t="shared" si="0"/>
        <v>330694</v>
      </c>
      <c r="K16" s="67">
        <f t="shared" si="0"/>
        <v>311499</v>
      </c>
      <c r="L16" s="67">
        <f t="shared" si="0"/>
        <v>330104</v>
      </c>
      <c r="M16" s="67">
        <f t="shared" si="0"/>
        <v>326420</v>
      </c>
      <c r="N16" s="67">
        <f t="shared" si="0"/>
        <v>247371</v>
      </c>
    </row>
    <row r="19" spans="2:14">
      <c r="B19" s="68" t="e">
        <f ca="1">[6]!SNLTable(1,$C$24:$C$28,$D$21:$N$21,,,"Options:Curr=,Mag=,ConvMethod=")</f>
        <v>#NAME?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2:14">
      <c r="B20" s="68" t="e">
        <f ca="1">[6]!SNLLabel(1,130509,"Options:Curr=,Mag=,ConvMethod=")</f>
        <v>#NAME?</v>
      </c>
      <c r="C20" s="68" t="e">
        <f ca="1">[6]!SNLLabel(1,130992,"Options:Curr=,Mag=,ConvMethod=")</f>
        <v>#NAME?</v>
      </c>
      <c r="D20" s="68" t="e">
        <f ca="1">[6]!SNLLabel(1,$D$21,$D$22,$D$23,"Options:Curr=,Mag=,ConvMethod=")</f>
        <v>#NAME?</v>
      </c>
      <c r="E20" s="68" t="e">
        <f ca="1">[6]!SNLLabel(1,$E$21,$E$22,$E$23,"Options:Curr=,Mag=,ConvMethod=")</f>
        <v>#NAME?</v>
      </c>
      <c r="F20" s="68" t="e">
        <f ca="1">[6]!SNLLabel(1,$F$21,$F$22,$F$23,"Options:Curr=,Mag=,ConvMethod=")</f>
        <v>#NAME?</v>
      </c>
      <c r="G20" s="68" t="e">
        <f ca="1">[6]!SNLLabel(1,$G$21,$G$22,$G$23,"Options:Curr=,Mag=,ConvMethod=")</f>
        <v>#NAME?</v>
      </c>
      <c r="H20" s="68" t="e">
        <f ca="1">[6]!SNLLabel(1,$H$21,$H$22,$H$23,"Options:Curr=,Mag=,ConvMethod=")</f>
        <v>#NAME?</v>
      </c>
      <c r="I20" s="68" t="e">
        <f ca="1">[6]!SNLLabel(1,$I$21,$I$22,$I$23,"Options:Curr=,Mag=,ConvMethod=")</f>
        <v>#NAME?</v>
      </c>
      <c r="J20" s="68" t="e">
        <f ca="1">[6]!SNLLabel(1,$J$21,$J$22,$J$23,"Options:Curr=,Mag=,ConvMethod=")</f>
        <v>#NAME?</v>
      </c>
      <c r="K20" s="68" t="e">
        <f ca="1">[6]!SNLLabel(1,$K$21,$K$22,$K$23,"Options:Curr=,Mag=,ConvMethod=")</f>
        <v>#NAME?</v>
      </c>
      <c r="L20" s="68" t="e">
        <f ca="1">[6]!SNLLabel(1,$L$21,$L$22,$L$23,"Options:Curr=,Mag=,ConvMethod=")</f>
        <v>#NAME?</v>
      </c>
      <c r="M20" s="68" t="e">
        <f ca="1">[6]!SNLLabel(1,$M$21,$M$22,$M$23,"Options:Curr=,Mag=,ConvMethod=")</f>
        <v>#NAME?</v>
      </c>
      <c r="N20" s="68" t="e">
        <f ca="1">[6]!SNLLabel(1,$N$21,$N$22,$N$23,"Options:Curr=,Mag=,ConvMethod=")</f>
        <v>#NAME?</v>
      </c>
    </row>
    <row r="21" spans="2:14">
      <c r="B21" s="68"/>
      <c r="C21" s="68"/>
      <c r="D21" s="68">
        <v>131166</v>
      </c>
      <c r="E21" s="68">
        <v>132264</v>
      </c>
      <c r="F21" s="68">
        <v>132264</v>
      </c>
      <c r="G21" s="68">
        <v>132264</v>
      </c>
      <c r="H21" s="68">
        <v>132264</v>
      </c>
      <c r="I21" s="68">
        <v>132264</v>
      </c>
      <c r="J21" s="68">
        <v>132264</v>
      </c>
      <c r="K21" s="68">
        <v>132264</v>
      </c>
      <c r="L21" s="68">
        <v>132264</v>
      </c>
      <c r="M21" s="68">
        <v>132264</v>
      </c>
      <c r="N21" s="68">
        <v>132264</v>
      </c>
    </row>
    <row r="22" spans="2:14">
      <c r="B22" s="55"/>
      <c r="C22" s="55"/>
      <c r="D22" s="55"/>
      <c r="E22" s="55" t="s">
        <v>95</v>
      </c>
      <c r="F22" s="55" t="s">
        <v>96</v>
      </c>
      <c r="G22" s="55" t="s">
        <v>97</v>
      </c>
      <c r="H22" s="55" t="s">
        <v>98</v>
      </c>
      <c r="I22" s="55" t="s">
        <v>99</v>
      </c>
      <c r="J22" s="55" t="s">
        <v>100</v>
      </c>
      <c r="K22" s="55" t="s">
        <v>101</v>
      </c>
      <c r="L22" s="55" t="s">
        <v>102</v>
      </c>
      <c r="M22" s="55" t="s">
        <v>103</v>
      </c>
      <c r="N22" s="55" t="s">
        <v>105</v>
      </c>
    </row>
    <row r="23" spans="2:14">
      <c r="B23" s="55"/>
      <c r="C23" s="55"/>
      <c r="D23" s="55"/>
      <c r="E23" s="55">
        <v>1</v>
      </c>
      <c r="F23" s="55">
        <v>1</v>
      </c>
      <c r="G23" s="55">
        <v>1</v>
      </c>
      <c r="H23" s="55">
        <v>1</v>
      </c>
      <c r="I23" s="55">
        <v>1</v>
      </c>
      <c r="J23" s="55">
        <v>1</v>
      </c>
      <c r="K23" s="55">
        <v>1</v>
      </c>
      <c r="L23" s="55">
        <v>1</v>
      </c>
      <c r="M23" s="55">
        <v>1</v>
      </c>
      <c r="N23" s="55">
        <v>1</v>
      </c>
    </row>
    <row r="24" spans="2:14">
      <c r="B24" s="66" t="s">
        <v>86</v>
      </c>
      <c r="C24" s="66">
        <v>100369</v>
      </c>
      <c r="D24" s="66" t="s">
        <v>87</v>
      </c>
      <c r="E24" s="67">
        <v>1459737</v>
      </c>
      <c r="F24" s="67">
        <v>1715746</v>
      </c>
      <c r="G24" s="67">
        <v>1817943</v>
      </c>
      <c r="H24" s="67">
        <v>2230232</v>
      </c>
      <c r="I24" s="67">
        <v>2264909</v>
      </c>
      <c r="J24" s="67">
        <v>2129046</v>
      </c>
      <c r="K24" s="67">
        <v>2209974</v>
      </c>
      <c r="L24" s="67">
        <v>2102273</v>
      </c>
      <c r="M24" s="67">
        <v>2104534</v>
      </c>
      <c r="N24" s="67">
        <v>2153006</v>
      </c>
    </row>
    <row r="25" spans="2:14">
      <c r="B25" s="66" t="s">
        <v>88</v>
      </c>
      <c r="C25" s="66">
        <v>4041896</v>
      </c>
      <c r="D25" s="66" t="s">
        <v>89</v>
      </c>
      <c r="E25" s="67">
        <v>1884167</v>
      </c>
      <c r="F25" s="67">
        <v>2187480</v>
      </c>
      <c r="G25" s="67">
        <v>1938470</v>
      </c>
      <c r="H25" s="67">
        <v>1856646</v>
      </c>
      <c r="I25" s="67">
        <v>1913692</v>
      </c>
      <c r="J25" s="67">
        <v>1873597</v>
      </c>
      <c r="K25" s="67">
        <v>1864328</v>
      </c>
      <c r="L25" s="67">
        <v>1880035</v>
      </c>
      <c r="M25" s="67">
        <v>1842181</v>
      </c>
      <c r="N25" s="67">
        <v>1808356</v>
      </c>
    </row>
    <row r="26" spans="2:14">
      <c r="B26" s="66" t="s">
        <v>90</v>
      </c>
      <c r="C26" s="66">
        <v>4039450</v>
      </c>
      <c r="D26" s="66" t="s">
        <v>91</v>
      </c>
      <c r="E26" s="67">
        <v>838201</v>
      </c>
      <c r="F26" s="67">
        <v>1119796</v>
      </c>
      <c r="G26" s="67">
        <v>884547</v>
      </c>
      <c r="H26" s="67">
        <v>848942</v>
      </c>
      <c r="I26" s="67">
        <v>911332</v>
      </c>
      <c r="J26" s="67">
        <v>923225</v>
      </c>
      <c r="K26" s="67">
        <v>938555</v>
      </c>
      <c r="L26" s="67">
        <v>911507</v>
      </c>
      <c r="M26" s="67">
        <v>855842</v>
      </c>
      <c r="N26" s="67">
        <v>880559</v>
      </c>
    </row>
    <row r="27" spans="2:14">
      <c r="B27" s="66" t="s">
        <v>92</v>
      </c>
      <c r="C27" s="66">
        <v>100201</v>
      </c>
      <c r="D27" s="66" t="s">
        <v>93</v>
      </c>
      <c r="E27" s="67">
        <v>1351520</v>
      </c>
      <c r="F27" s="67">
        <v>1562147</v>
      </c>
      <c r="G27" s="67">
        <v>2175052</v>
      </c>
      <c r="H27" s="67">
        <v>2031989</v>
      </c>
      <c r="I27" s="67">
        <v>2117605</v>
      </c>
      <c r="J27" s="67">
        <v>2265792</v>
      </c>
      <c r="K27" s="67">
        <v>2359141</v>
      </c>
      <c r="L27" s="67">
        <v>2415689</v>
      </c>
      <c r="M27" s="67">
        <v>2572773</v>
      </c>
      <c r="N27" s="67">
        <v>2417121</v>
      </c>
    </row>
    <row r="28" spans="2:14">
      <c r="B28" s="66" t="s">
        <v>67</v>
      </c>
      <c r="C28" s="66">
        <v>103042</v>
      </c>
      <c r="D28" s="66" t="s">
        <v>94</v>
      </c>
      <c r="E28" s="67">
        <v>1121192</v>
      </c>
      <c r="F28" s="67">
        <v>1045409</v>
      </c>
      <c r="G28" s="67">
        <v>676764</v>
      </c>
      <c r="H28" s="67">
        <v>771462</v>
      </c>
      <c r="I28" s="67">
        <v>807698</v>
      </c>
      <c r="J28" s="67">
        <v>749898</v>
      </c>
      <c r="K28" s="67">
        <v>780960</v>
      </c>
      <c r="L28" s="67">
        <v>832702</v>
      </c>
      <c r="M28" s="67">
        <v>801510</v>
      </c>
      <c r="N28" s="67">
        <v>834113</v>
      </c>
    </row>
    <row r="29" spans="2:14">
      <c r="B29" s="73" t="s">
        <v>106</v>
      </c>
      <c r="E29" s="67">
        <f>SUM(E23:E28)</f>
        <v>6654818</v>
      </c>
      <c r="F29" s="67">
        <f t="shared" ref="F29" si="1">SUM(F23:F28)</f>
        <v>7630579</v>
      </c>
      <c r="G29" s="67">
        <f t="shared" ref="G29" si="2">SUM(G23:G28)</f>
        <v>7492777</v>
      </c>
      <c r="H29" s="67">
        <f t="shared" ref="H29" si="3">SUM(H23:H28)</f>
        <v>7739272</v>
      </c>
      <c r="I29" s="67">
        <f t="shared" ref="I29" si="4">SUM(I23:I28)</f>
        <v>8015237</v>
      </c>
      <c r="J29" s="67">
        <f t="shared" ref="J29" si="5">SUM(J23:J28)</f>
        <v>7941559</v>
      </c>
      <c r="K29" s="67">
        <f t="shared" ref="K29" si="6">SUM(K23:K28)</f>
        <v>8152959</v>
      </c>
      <c r="L29" s="67">
        <f t="shared" ref="L29" si="7">SUM(L23:L28)</f>
        <v>8142207</v>
      </c>
      <c r="M29" s="67">
        <f t="shared" ref="M29" si="8">SUM(M23:M28)</f>
        <v>8176841</v>
      </c>
      <c r="N29" s="67">
        <f t="shared" ref="N29" si="9">SUM(N23:N28)</f>
        <v>8093156</v>
      </c>
    </row>
    <row r="33" spans="2:14">
      <c r="B33" s="68" t="e">
        <f ca="1">[6]!SNLTable(1,$C$38:$C$42,$D$35:$N$35,,,"Options:Curr=,Mag=,ConvMethod=")</f>
        <v>#NAME?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2:14">
      <c r="B34" s="68" t="e">
        <f ca="1">[6]!SNLLabel(1,130509,"Options:Curr=,Mag=,ConvMethod=")</f>
        <v>#NAME?</v>
      </c>
      <c r="C34" s="68" t="e">
        <f ca="1">[6]!SNLLabel(1,130992,"Options:Curr=,Mag=,ConvMethod=")</f>
        <v>#NAME?</v>
      </c>
      <c r="D34" s="68" t="e">
        <f ca="1">[6]!SNLLabel(1,$D$35,$D$36,$D$37,"Options:Curr=,Mag=,ConvMethod=")</f>
        <v>#NAME?</v>
      </c>
      <c r="E34" s="68" t="e">
        <f ca="1">[6]!SNLLabel(1,$E$35,$E$36,$E$37,"Options:Curr=,Mag=,ConvMethod=")</f>
        <v>#NAME?</v>
      </c>
      <c r="F34" s="68" t="e">
        <f ca="1">[6]!SNLLabel(1,$F$35,$F$36,$F$37,"Options:Curr=,Mag=,ConvMethod=")</f>
        <v>#NAME?</v>
      </c>
      <c r="G34" s="68" t="e">
        <f ca="1">[6]!SNLLabel(1,$G$35,$G$36,$G$37,"Options:Curr=,Mag=,ConvMethod=")</f>
        <v>#NAME?</v>
      </c>
      <c r="H34" s="68" t="e">
        <f ca="1">[6]!SNLLabel(1,$H$35,$H$36,$H$37,"Options:Curr=,Mag=,ConvMethod=")</f>
        <v>#NAME?</v>
      </c>
      <c r="I34" s="68" t="e">
        <f ca="1">[6]!SNLLabel(1,$I$35,$I$36,$I$37,"Options:Curr=,Mag=,ConvMethod=")</f>
        <v>#NAME?</v>
      </c>
      <c r="J34" s="68" t="e">
        <f ca="1">[6]!SNLLabel(1,$J$35,$J$36,$J$37,"Options:Curr=,Mag=,ConvMethod=")</f>
        <v>#NAME?</v>
      </c>
      <c r="K34" s="68" t="e">
        <f ca="1">[6]!SNLLabel(1,$K$35,$K$36,$K$37,"Options:Curr=,Mag=,ConvMethod=")</f>
        <v>#NAME?</v>
      </c>
      <c r="L34" s="68" t="e">
        <f ca="1">[6]!SNLLabel(1,$L$35,$L$36,$L$37,"Options:Curr=,Mag=,ConvMethod=")</f>
        <v>#NAME?</v>
      </c>
      <c r="M34" s="68" t="e">
        <f ca="1">[6]!SNLLabel(1,$M$35,$M$36,$M$37,"Options:Curr=,Mag=,ConvMethod=")</f>
        <v>#NAME?</v>
      </c>
      <c r="N34" s="68" t="e">
        <f ca="1">[6]!SNLLabel(1,$N$35,$N$36,$N$37,"Options:Curr=,Mag=,ConvMethod=")</f>
        <v>#NAME?</v>
      </c>
    </row>
    <row r="35" spans="2:14">
      <c r="B35" s="68"/>
      <c r="C35" s="68"/>
      <c r="D35" s="68">
        <v>131166</v>
      </c>
      <c r="E35" s="68">
        <v>132385</v>
      </c>
      <c r="F35" s="68">
        <v>132385</v>
      </c>
      <c r="G35" s="68">
        <v>132385</v>
      </c>
      <c r="H35" s="68">
        <v>132385</v>
      </c>
      <c r="I35" s="68">
        <v>132385</v>
      </c>
      <c r="J35" s="68">
        <v>132385</v>
      </c>
      <c r="K35" s="68">
        <v>132385</v>
      </c>
      <c r="L35" s="68">
        <v>132385</v>
      </c>
      <c r="M35" s="68">
        <v>132385</v>
      </c>
      <c r="N35" s="68">
        <v>132385</v>
      </c>
    </row>
    <row r="36" spans="2:14">
      <c r="B36" s="55"/>
      <c r="C36" s="55"/>
      <c r="D36" s="55"/>
      <c r="E36" s="55" t="s">
        <v>95</v>
      </c>
      <c r="F36" s="55" t="s">
        <v>96</v>
      </c>
      <c r="G36" s="55" t="s">
        <v>97</v>
      </c>
      <c r="H36" s="55" t="s">
        <v>98</v>
      </c>
      <c r="I36" s="55" t="s">
        <v>99</v>
      </c>
      <c r="J36" s="55" t="s">
        <v>100</v>
      </c>
      <c r="K36" s="55" t="s">
        <v>101</v>
      </c>
      <c r="L36" s="55" t="s">
        <v>102</v>
      </c>
      <c r="M36" s="55" t="s">
        <v>103</v>
      </c>
      <c r="N36" s="55" t="s">
        <v>105</v>
      </c>
    </row>
    <row r="37" spans="2:14">
      <c r="B37" s="55"/>
      <c r="C37" s="55"/>
      <c r="D37" s="55"/>
      <c r="E37" s="55">
        <v>1</v>
      </c>
      <c r="F37" s="55">
        <v>1</v>
      </c>
      <c r="G37" s="55">
        <v>1</v>
      </c>
      <c r="H37" s="55">
        <v>1</v>
      </c>
      <c r="I37" s="55">
        <v>1</v>
      </c>
      <c r="J37" s="55">
        <v>1</v>
      </c>
      <c r="K37" s="55">
        <v>1</v>
      </c>
      <c r="L37" s="55">
        <v>1</v>
      </c>
      <c r="M37" s="55">
        <v>1</v>
      </c>
      <c r="N37" s="55">
        <v>1</v>
      </c>
    </row>
    <row r="38" spans="2:14">
      <c r="B38" s="66" t="s">
        <v>86</v>
      </c>
      <c r="C38" s="66">
        <v>100369</v>
      </c>
      <c r="D38" s="66" t="s">
        <v>87</v>
      </c>
      <c r="E38" s="67">
        <v>135272</v>
      </c>
      <c r="F38" s="67">
        <v>146803</v>
      </c>
      <c r="G38" s="67">
        <v>177052</v>
      </c>
      <c r="H38" s="67">
        <v>231444</v>
      </c>
      <c r="I38" s="67">
        <v>228248</v>
      </c>
      <c r="J38" s="67">
        <v>230101</v>
      </c>
      <c r="K38" s="67">
        <v>236956</v>
      </c>
      <c r="L38" s="67">
        <v>232685</v>
      </c>
      <c r="M38" s="67">
        <v>243471</v>
      </c>
      <c r="N38" s="67">
        <v>255905</v>
      </c>
    </row>
    <row r="39" spans="2:14">
      <c r="B39" s="66" t="s">
        <v>88</v>
      </c>
      <c r="C39" s="66">
        <v>4041896</v>
      </c>
      <c r="D39" s="66" t="s">
        <v>89</v>
      </c>
      <c r="E39" s="67">
        <v>122345</v>
      </c>
      <c r="F39" s="67">
        <v>118755</v>
      </c>
      <c r="G39" s="67">
        <v>144022</v>
      </c>
      <c r="H39" s="67">
        <v>154973</v>
      </c>
      <c r="I39" s="67">
        <v>165579</v>
      </c>
      <c r="J39" s="67">
        <v>179292</v>
      </c>
      <c r="K39" s="67">
        <v>190665</v>
      </c>
      <c r="L39" s="67">
        <v>205786</v>
      </c>
      <c r="M39" s="67">
        <v>211696</v>
      </c>
      <c r="N39" s="67">
        <v>222137</v>
      </c>
    </row>
    <row r="40" spans="2:14">
      <c r="B40" s="66" t="s">
        <v>90</v>
      </c>
      <c r="C40" s="66">
        <v>4039450</v>
      </c>
      <c r="D40" s="66" t="s">
        <v>91</v>
      </c>
      <c r="E40" s="67">
        <v>35786</v>
      </c>
      <c r="F40" s="67">
        <v>42800</v>
      </c>
      <c r="G40" s="67">
        <v>65496</v>
      </c>
      <c r="H40" s="67">
        <v>71674</v>
      </c>
      <c r="I40" s="67">
        <v>78228</v>
      </c>
      <c r="J40" s="67">
        <v>71829</v>
      </c>
      <c r="K40" s="67">
        <v>76224</v>
      </c>
      <c r="L40" s="67">
        <v>78793</v>
      </c>
      <c r="M40" s="67">
        <v>83201</v>
      </c>
      <c r="N40" s="67">
        <v>88121</v>
      </c>
    </row>
    <row r="41" spans="2:14">
      <c r="B41" s="66" t="s">
        <v>92</v>
      </c>
      <c r="C41" s="66">
        <v>100201</v>
      </c>
      <c r="D41" s="66" t="s">
        <v>93</v>
      </c>
      <c r="E41" s="67">
        <v>115790</v>
      </c>
      <c r="F41" s="67">
        <v>123221</v>
      </c>
      <c r="G41" s="67">
        <v>166884</v>
      </c>
      <c r="H41" s="67">
        <v>165365</v>
      </c>
      <c r="I41" s="67">
        <v>176106</v>
      </c>
      <c r="J41" s="67">
        <v>183573</v>
      </c>
      <c r="K41" s="67">
        <v>204069</v>
      </c>
      <c r="L41" s="67">
        <v>211178</v>
      </c>
      <c r="M41" s="67">
        <v>231727</v>
      </c>
      <c r="N41" s="67">
        <v>245728</v>
      </c>
    </row>
    <row r="42" spans="2:14">
      <c r="B42" s="66" t="s">
        <v>67</v>
      </c>
      <c r="C42" s="66">
        <v>103042</v>
      </c>
      <c r="D42" s="66" t="s">
        <v>94</v>
      </c>
      <c r="E42" s="67">
        <v>35364</v>
      </c>
      <c r="F42" s="67">
        <v>32897</v>
      </c>
      <c r="G42" s="67">
        <v>49456</v>
      </c>
      <c r="H42" s="67">
        <v>52780</v>
      </c>
      <c r="I42" s="67">
        <v>65407</v>
      </c>
      <c r="J42" s="67">
        <v>70078</v>
      </c>
      <c r="K42" s="67">
        <v>65428</v>
      </c>
      <c r="L42" s="67">
        <v>69030</v>
      </c>
      <c r="M42" s="67">
        <v>72104</v>
      </c>
      <c r="N42" s="67">
        <v>76420</v>
      </c>
    </row>
    <row r="43" spans="2:14">
      <c r="B43" s="73" t="s">
        <v>106</v>
      </c>
      <c r="E43" s="67">
        <f>SUM(E37:E42)</f>
        <v>444558</v>
      </c>
      <c r="F43" s="67">
        <f t="shared" ref="F43" si="10">SUM(F37:F42)</f>
        <v>464477</v>
      </c>
      <c r="G43" s="67">
        <f t="shared" ref="G43" si="11">SUM(G37:G42)</f>
        <v>602911</v>
      </c>
      <c r="H43" s="67">
        <f t="shared" ref="H43" si="12">SUM(H37:H42)</f>
        <v>676237</v>
      </c>
      <c r="I43" s="67">
        <f t="shared" ref="I43" si="13">SUM(I37:I42)</f>
        <v>713569</v>
      </c>
      <c r="J43" s="67">
        <f t="shared" ref="J43" si="14">SUM(J37:J42)</f>
        <v>734874</v>
      </c>
      <c r="K43" s="67">
        <f t="shared" ref="K43" si="15">SUM(K37:K42)</f>
        <v>773343</v>
      </c>
      <c r="L43" s="67">
        <f t="shared" ref="L43" si="16">SUM(L37:L42)</f>
        <v>797473</v>
      </c>
      <c r="M43" s="67">
        <f t="shared" ref="M43" si="17">SUM(M37:M42)</f>
        <v>842200</v>
      </c>
      <c r="N43" s="67">
        <f t="shared" ref="N43" si="18">SUM(N37:N42)</f>
        <v>888312</v>
      </c>
    </row>
    <row r="47" spans="2:14">
      <c r="B47" s="68" t="e">
        <f ca="1">[6]!SNLTable(1,$C$52:$C$56,$D$49:$N$49,,,"Options:Curr=,Mag=,ConvMethod=")</f>
        <v>#NAME?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2:14">
      <c r="B48" s="68" t="e">
        <f ca="1">[6]!SNLLabel(1,130509,"Options:Curr=,Mag=,ConvMethod=")</f>
        <v>#NAME?</v>
      </c>
      <c r="C48" s="68" t="e">
        <f ca="1">[6]!SNLLabel(1,130992,"Options:Curr=,Mag=,ConvMethod=")</f>
        <v>#NAME?</v>
      </c>
      <c r="D48" s="68" t="e">
        <f ca="1">[6]!SNLLabel(1,$D$49,$D$50,$D$51,"Options:Curr=,Mag=,ConvMethod=")</f>
        <v>#NAME?</v>
      </c>
      <c r="E48" s="68" t="e">
        <f ca="1">[6]!SNLLabel(1,$E$49,$E$50,$E$51,"Options:Curr=,Mag=,ConvMethod=")</f>
        <v>#NAME?</v>
      </c>
      <c r="F48" s="68" t="e">
        <f ca="1">[6]!SNLLabel(1,$F$49,$F$50,$F$51,"Options:Curr=,Mag=,ConvMethod=")</f>
        <v>#NAME?</v>
      </c>
      <c r="G48" s="68" t="e">
        <f ca="1">[6]!SNLLabel(1,$G$49,$G$50,$G$51,"Options:Curr=,Mag=,ConvMethod=")</f>
        <v>#NAME?</v>
      </c>
      <c r="H48" s="68" t="e">
        <f ca="1">[6]!SNLLabel(1,$H$49,$H$50,$H$51,"Options:Curr=,Mag=,ConvMethod=")</f>
        <v>#NAME?</v>
      </c>
      <c r="I48" s="68" t="e">
        <f ca="1">[6]!SNLLabel(1,$I$49,$I$50,$I$51,"Options:Curr=,Mag=,ConvMethod=")</f>
        <v>#NAME?</v>
      </c>
      <c r="J48" s="68" t="e">
        <f ca="1">[6]!SNLLabel(1,$J$49,$J$50,$J$51,"Options:Curr=,Mag=,ConvMethod=")</f>
        <v>#NAME?</v>
      </c>
      <c r="K48" s="68" t="e">
        <f ca="1">[6]!SNLLabel(1,$K$49,$K$50,$K$51,"Options:Curr=,Mag=,ConvMethod=")</f>
        <v>#NAME?</v>
      </c>
      <c r="L48" s="68" t="e">
        <f ca="1">[6]!SNLLabel(1,$L$49,$L$50,$L$51,"Options:Curr=,Mag=,ConvMethod=")</f>
        <v>#NAME?</v>
      </c>
      <c r="M48" s="68" t="e">
        <f ca="1">[6]!SNLLabel(1,$M$49,$M$50,$M$51,"Options:Curr=,Mag=,ConvMethod=")</f>
        <v>#NAME?</v>
      </c>
      <c r="N48" s="68" t="e">
        <f ca="1">[6]!SNLLabel(1,$N$49,$N$50,$N$51,"Options:Curr=,Mag=,ConvMethod=")</f>
        <v>#NAME?</v>
      </c>
    </row>
    <row r="49" spans="2:14">
      <c r="B49" s="68"/>
      <c r="C49" s="68"/>
      <c r="D49" s="68">
        <v>131166</v>
      </c>
      <c r="E49" s="68">
        <v>132384</v>
      </c>
      <c r="F49" s="68">
        <v>132384</v>
      </c>
      <c r="G49" s="68">
        <v>132384</v>
      </c>
      <c r="H49" s="68">
        <v>132384</v>
      </c>
      <c r="I49" s="68">
        <v>132384</v>
      </c>
      <c r="J49" s="68">
        <v>132384</v>
      </c>
      <c r="K49" s="68">
        <v>132384</v>
      </c>
      <c r="L49" s="68">
        <v>132384</v>
      </c>
      <c r="M49" s="68">
        <v>132384</v>
      </c>
      <c r="N49" s="68">
        <v>132384</v>
      </c>
    </row>
    <row r="50" spans="2:14">
      <c r="B50" s="55"/>
      <c r="C50" s="55"/>
      <c r="D50" s="55"/>
      <c r="E50" s="55" t="s">
        <v>95</v>
      </c>
      <c r="F50" s="55" t="s">
        <v>96</v>
      </c>
      <c r="G50" s="55" t="s">
        <v>97</v>
      </c>
      <c r="H50" s="55" t="s">
        <v>98</v>
      </c>
      <c r="I50" s="55" t="s">
        <v>99</v>
      </c>
      <c r="J50" s="55" t="s">
        <v>100</v>
      </c>
      <c r="K50" s="55" t="s">
        <v>101</v>
      </c>
      <c r="L50" s="55" t="s">
        <v>102</v>
      </c>
      <c r="M50" s="55" t="s">
        <v>103</v>
      </c>
      <c r="N50" s="55" t="s">
        <v>105</v>
      </c>
    </row>
    <row r="51" spans="2:14">
      <c r="B51" s="55"/>
      <c r="C51" s="55"/>
      <c r="D51" s="55"/>
      <c r="E51" s="55">
        <v>1</v>
      </c>
      <c r="F51" s="55">
        <v>1</v>
      </c>
      <c r="G51" s="55">
        <v>1</v>
      </c>
      <c r="H51" s="55">
        <v>1</v>
      </c>
      <c r="I51" s="55">
        <v>1</v>
      </c>
      <c r="J51" s="55">
        <v>1</v>
      </c>
      <c r="K51" s="55">
        <v>1</v>
      </c>
      <c r="L51" s="55">
        <v>1</v>
      </c>
      <c r="M51" s="55">
        <v>1</v>
      </c>
      <c r="N51" s="55">
        <v>1</v>
      </c>
    </row>
    <row r="52" spans="2:14">
      <c r="B52" s="66" t="s">
        <v>86</v>
      </c>
      <c r="C52" s="66">
        <v>100369</v>
      </c>
      <c r="D52" s="66" t="s">
        <v>87</v>
      </c>
      <c r="E52" s="67">
        <v>132421</v>
      </c>
      <c r="F52" s="67">
        <v>142394</v>
      </c>
      <c r="G52" s="67">
        <v>139351</v>
      </c>
      <c r="H52" s="67">
        <v>194236</v>
      </c>
      <c r="I52" s="67">
        <v>211686</v>
      </c>
      <c r="J52" s="67">
        <v>211704</v>
      </c>
      <c r="K52" s="67">
        <v>218188</v>
      </c>
      <c r="L52" s="67">
        <v>219333</v>
      </c>
      <c r="M52" s="67">
        <v>224162</v>
      </c>
      <c r="N52" s="67">
        <v>233632</v>
      </c>
    </row>
    <row r="53" spans="2:14">
      <c r="B53" s="66" t="s">
        <v>88</v>
      </c>
      <c r="C53" s="66">
        <v>4041896</v>
      </c>
      <c r="D53" s="66" t="s">
        <v>89</v>
      </c>
      <c r="E53" s="67">
        <v>118632</v>
      </c>
      <c r="F53" s="67">
        <v>113447</v>
      </c>
      <c r="G53" s="67">
        <v>70966</v>
      </c>
      <c r="H53" s="67">
        <v>152388</v>
      </c>
      <c r="I53" s="67">
        <v>162946</v>
      </c>
      <c r="J53" s="67">
        <v>177213</v>
      </c>
      <c r="K53" s="67">
        <v>186155</v>
      </c>
      <c r="L53" s="67">
        <v>197254</v>
      </c>
      <c r="M53" s="67">
        <v>199717</v>
      </c>
      <c r="N53" s="67">
        <v>205630</v>
      </c>
    </row>
    <row r="54" spans="2:14">
      <c r="B54" s="66" t="s">
        <v>90</v>
      </c>
      <c r="C54" s="66">
        <v>4039450</v>
      </c>
      <c r="D54" s="66" t="s">
        <v>91</v>
      </c>
      <c r="E54" s="67">
        <v>32686</v>
      </c>
      <c r="F54" s="67">
        <v>39700</v>
      </c>
      <c r="G54" s="67">
        <v>46265</v>
      </c>
      <c r="H54" s="67">
        <v>62614</v>
      </c>
      <c r="I54" s="67">
        <v>69256.039999999994</v>
      </c>
      <c r="J54" s="67">
        <v>67279.039999999994</v>
      </c>
      <c r="K54" s="67">
        <v>69516.024000000005</v>
      </c>
      <c r="L54" s="67">
        <v>71267.024000000005</v>
      </c>
      <c r="M54" s="67">
        <v>73597.024000000005</v>
      </c>
      <c r="N54" s="67">
        <v>76503.024000000005</v>
      </c>
    </row>
    <row r="55" spans="2:14">
      <c r="B55" s="66" t="s">
        <v>92</v>
      </c>
      <c r="C55" s="66">
        <v>100201</v>
      </c>
      <c r="D55" s="66" t="s">
        <v>93</v>
      </c>
      <c r="E55" s="67">
        <v>115790</v>
      </c>
      <c r="F55" s="67">
        <v>123221</v>
      </c>
      <c r="G55" s="67">
        <v>134945</v>
      </c>
      <c r="H55" s="67">
        <v>157213</v>
      </c>
      <c r="I55" s="67">
        <v>168306</v>
      </c>
      <c r="J55" s="67">
        <v>175773</v>
      </c>
      <c r="K55" s="67">
        <v>195011</v>
      </c>
      <c r="L55" s="67">
        <v>200020</v>
      </c>
      <c r="M55" s="67">
        <v>211664</v>
      </c>
      <c r="N55" s="67">
        <v>219660</v>
      </c>
    </row>
    <row r="56" spans="2:14">
      <c r="B56" s="66" t="s">
        <v>67</v>
      </c>
      <c r="C56" s="66">
        <v>103042</v>
      </c>
      <c r="D56" s="66" t="s">
        <v>94</v>
      </c>
      <c r="E56" s="67">
        <v>34264</v>
      </c>
      <c r="F56" s="67">
        <v>30169</v>
      </c>
      <c r="G56" s="67">
        <v>29585</v>
      </c>
      <c r="H56" s="67">
        <v>37228.909</v>
      </c>
      <c r="I56" s="67">
        <v>47751.909</v>
      </c>
      <c r="J56" s="67">
        <v>60429.118000000002</v>
      </c>
      <c r="K56" s="67">
        <v>60489.118000000002</v>
      </c>
      <c r="L56" s="67">
        <v>62588.618000000002</v>
      </c>
      <c r="M56" s="67">
        <v>64767.618000000002</v>
      </c>
      <c r="N56" s="67">
        <v>67654.618000000002</v>
      </c>
    </row>
    <row r="57" spans="2:14">
      <c r="B57" s="73" t="s">
        <v>106</v>
      </c>
      <c r="E57" s="67">
        <f>SUM(E51:E56)</f>
        <v>433794</v>
      </c>
      <c r="F57" s="67">
        <f t="shared" ref="F57" si="19">SUM(F51:F56)</f>
        <v>448932</v>
      </c>
      <c r="G57" s="67">
        <f t="shared" ref="G57" si="20">SUM(G51:G56)</f>
        <v>421113</v>
      </c>
      <c r="H57" s="67">
        <f t="shared" ref="H57" si="21">SUM(H51:H56)</f>
        <v>603680.90899999999</v>
      </c>
      <c r="I57" s="67">
        <f t="shared" ref="I57" si="22">SUM(I51:I56)</f>
        <v>659946.94900000002</v>
      </c>
      <c r="J57" s="67">
        <f t="shared" ref="J57" si="23">SUM(J51:J56)</f>
        <v>692399.15800000005</v>
      </c>
      <c r="K57" s="67">
        <f t="shared" ref="K57" si="24">SUM(K51:K56)</f>
        <v>729360.14199999999</v>
      </c>
      <c r="L57" s="67">
        <f t="shared" ref="L57" si="25">SUM(L51:L56)</f>
        <v>750463.64199999999</v>
      </c>
      <c r="M57" s="67">
        <f t="shared" ref="M57" si="26">SUM(M51:M56)</f>
        <v>773908.64199999999</v>
      </c>
      <c r="N57" s="67">
        <f t="shared" ref="N57" si="27">SUM(N51:N56)</f>
        <v>803080.64199999999</v>
      </c>
    </row>
    <row r="61" spans="2:14">
      <c r="B61" s="68" t="s">
        <v>111</v>
      </c>
      <c r="C61" s="68" t="s">
        <v>112</v>
      </c>
      <c r="D61" s="68" t="s">
        <v>113</v>
      </c>
      <c r="E61" s="68" t="s">
        <v>114</v>
      </c>
      <c r="F61" s="68" t="s">
        <v>114</v>
      </c>
      <c r="G61" s="68" t="s">
        <v>114</v>
      </c>
      <c r="H61" s="68" t="s">
        <v>114</v>
      </c>
      <c r="I61" s="68" t="s">
        <v>114</v>
      </c>
      <c r="J61" s="68" t="s">
        <v>114</v>
      </c>
      <c r="K61" s="68" t="s">
        <v>114</v>
      </c>
      <c r="L61" s="68" t="s">
        <v>114</v>
      </c>
      <c r="M61" s="68" t="s">
        <v>114</v>
      </c>
      <c r="N61" s="68" t="s">
        <v>114</v>
      </c>
    </row>
    <row r="62" spans="2:14">
      <c r="B62" s="68"/>
      <c r="C62" s="68"/>
      <c r="D62" s="68">
        <v>131166</v>
      </c>
      <c r="E62" s="68">
        <v>132384</v>
      </c>
      <c r="F62" s="68">
        <v>132384</v>
      </c>
      <c r="G62" s="68">
        <v>132384</v>
      </c>
      <c r="H62" s="68">
        <v>132384</v>
      </c>
      <c r="I62" s="68">
        <v>132384</v>
      </c>
      <c r="J62" s="68">
        <v>132384</v>
      </c>
      <c r="K62" s="68">
        <v>132384</v>
      </c>
      <c r="L62" s="68">
        <v>132384</v>
      </c>
      <c r="M62" s="68">
        <v>132384</v>
      </c>
      <c r="N62" s="68">
        <v>132384</v>
      </c>
    </row>
    <row r="63" spans="2:14">
      <c r="B63" s="55"/>
      <c r="C63" s="55"/>
      <c r="D63" s="55"/>
      <c r="E63" s="55" t="s">
        <v>95</v>
      </c>
      <c r="F63" s="55" t="s">
        <v>96</v>
      </c>
      <c r="G63" s="55" t="s">
        <v>97</v>
      </c>
      <c r="H63" s="55" t="s">
        <v>98</v>
      </c>
      <c r="I63" s="55" t="s">
        <v>99</v>
      </c>
      <c r="J63" s="55" t="s">
        <v>100</v>
      </c>
      <c r="K63" s="55" t="s">
        <v>101</v>
      </c>
      <c r="L63" s="55" t="s">
        <v>102</v>
      </c>
      <c r="M63" s="55" t="s">
        <v>103</v>
      </c>
      <c r="N63" s="55" t="s">
        <v>105</v>
      </c>
    </row>
    <row r="64" spans="2:14">
      <c r="B64" s="55"/>
      <c r="C64" s="55"/>
      <c r="D64" s="55"/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</row>
    <row r="65" spans="2:14">
      <c r="B65" s="66" t="s">
        <v>86</v>
      </c>
      <c r="C65" s="66">
        <v>100369</v>
      </c>
      <c r="D65" s="66" t="s">
        <v>87</v>
      </c>
      <c r="E65" s="74">
        <f>E24/E38</f>
        <v>10.791124549056715</v>
      </c>
      <c r="F65" s="74">
        <f t="shared" ref="F65:N65" si="28">F24/F38</f>
        <v>11.687404208360865</v>
      </c>
      <c r="G65" s="74">
        <f t="shared" si="28"/>
        <v>10.26784786390439</v>
      </c>
      <c r="H65" s="74">
        <f t="shared" si="28"/>
        <v>9.6361625274364417</v>
      </c>
      <c r="I65" s="74">
        <f t="shared" si="28"/>
        <v>9.923017945392731</v>
      </c>
      <c r="J65" s="74">
        <f t="shared" si="28"/>
        <v>9.252658615129878</v>
      </c>
      <c r="K65" s="74">
        <f t="shared" si="28"/>
        <v>9.3265163152652821</v>
      </c>
      <c r="L65" s="74">
        <f t="shared" si="28"/>
        <v>9.0348453918387523</v>
      </c>
      <c r="M65" s="74">
        <f t="shared" si="28"/>
        <v>8.6438795585511219</v>
      </c>
      <c r="N65" s="74">
        <f t="shared" si="28"/>
        <v>8.4133018112190072</v>
      </c>
    </row>
    <row r="66" spans="2:14">
      <c r="B66" s="66" t="s">
        <v>88</v>
      </c>
      <c r="C66" s="66">
        <v>4041896</v>
      </c>
      <c r="D66" s="66" t="s">
        <v>89</v>
      </c>
      <c r="E66" s="74">
        <f t="shared" ref="E66:N69" si="29">E25/E39</f>
        <v>15.400441374800769</v>
      </c>
      <c r="F66" s="74">
        <f t="shared" si="29"/>
        <v>18.420108627005177</v>
      </c>
      <c r="G66" s="74">
        <f t="shared" si="29"/>
        <v>13.45954090347308</v>
      </c>
      <c r="H66" s="74">
        <f t="shared" si="29"/>
        <v>11.980448207107045</v>
      </c>
      <c r="I66" s="74">
        <f t="shared" si="29"/>
        <v>11.557576745843374</v>
      </c>
      <c r="J66" s="74">
        <f t="shared" si="29"/>
        <v>10.449975459027732</v>
      </c>
      <c r="K66" s="74">
        <f t="shared" si="29"/>
        <v>9.7780295282301424</v>
      </c>
      <c r="L66" s="74">
        <f t="shared" si="29"/>
        <v>9.1358741605357014</v>
      </c>
      <c r="M66" s="74">
        <f t="shared" si="29"/>
        <v>8.7020113748016019</v>
      </c>
      <c r="N66" s="74">
        <f t="shared" si="29"/>
        <v>8.1407239676415912</v>
      </c>
    </row>
    <row r="67" spans="2:14">
      <c r="B67" s="66" t="s">
        <v>90</v>
      </c>
      <c r="C67" s="66">
        <v>4039450</v>
      </c>
      <c r="D67" s="66" t="s">
        <v>91</v>
      </c>
      <c r="E67" s="74">
        <f t="shared" si="29"/>
        <v>23.422595428379815</v>
      </c>
      <c r="F67" s="74">
        <f t="shared" si="29"/>
        <v>26.163457943925234</v>
      </c>
      <c r="G67" s="74">
        <f t="shared" si="29"/>
        <v>13.505359105899597</v>
      </c>
      <c r="H67" s="74">
        <f t="shared" si="29"/>
        <v>11.844490331221921</v>
      </c>
      <c r="I67" s="74">
        <f t="shared" si="29"/>
        <v>11.649690647849875</v>
      </c>
      <c r="J67" s="74">
        <f t="shared" si="29"/>
        <v>12.853095546367067</v>
      </c>
      <c r="K67" s="74">
        <f t="shared" si="29"/>
        <v>12.313116603694375</v>
      </c>
      <c r="L67" s="74">
        <f t="shared" si="29"/>
        <v>11.568375363293693</v>
      </c>
      <c r="M67" s="74">
        <f t="shared" si="29"/>
        <v>10.286438864917489</v>
      </c>
      <c r="N67" s="74">
        <f t="shared" si="29"/>
        <v>9.99261243063515</v>
      </c>
    </row>
    <row r="68" spans="2:14">
      <c r="B68" s="66" t="s">
        <v>92</v>
      </c>
      <c r="C68" s="66">
        <v>100201</v>
      </c>
      <c r="D68" s="66" t="s">
        <v>93</v>
      </c>
      <c r="E68" s="74">
        <f t="shared" si="29"/>
        <v>11.672165126522152</v>
      </c>
      <c r="F68" s="74">
        <f t="shared" si="29"/>
        <v>12.677603655221107</v>
      </c>
      <c r="G68" s="74">
        <f t="shared" si="29"/>
        <v>13.033316555212004</v>
      </c>
      <c r="H68" s="74">
        <f t="shared" si="29"/>
        <v>12.287902518670819</v>
      </c>
      <c r="I68" s="74">
        <f t="shared" si="29"/>
        <v>12.024604499562763</v>
      </c>
      <c r="J68" s="74">
        <f t="shared" si="29"/>
        <v>12.342730140053275</v>
      </c>
      <c r="K68" s="74">
        <f t="shared" si="29"/>
        <v>11.560506495352062</v>
      </c>
      <c r="L68" s="74">
        <f t="shared" si="29"/>
        <v>11.439112975783463</v>
      </c>
      <c r="M68" s="74">
        <f t="shared" si="29"/>
        <v>11.102603494629456</v>
      </c>
      <c r="N68" s="74">
        <f t="shared" si="29"/>
        <v>9.8365713309024621</v>
      </c>
    </row>
    <row r="69" spans="2:14">
      <c r="B69" s="66" t="s">
        <v>67</v>
      </c>
      <c r="C69" s="66">
        <v>103042</v>
      </c>
      <c r="D69" s="66" t="s">
        <v>94</v>
      </c>
      <c r="E69" s="74">
        <f t="shared" si="29"/>
        <v>31.70433208913019</v>
      </c>
      <c r="F69" s="74">
        <f t="shared" si="29"/>
        <v>31.778247256588745</v>
      </c>
      <c r="G69" s="74">
        <f t="shared" si="29"/>
        <v>13.684163701067616</v>
      </c>
      <c r="H69" s="74">
        <f t="shared" si="29"/>
        <v>14.6165593027662</v>
      </c>
      <c r="I69" s="74">
        <f t="shared" si="29"/>
        <v>12.348800587093125</v>
      </c>
      <c r="J69" s="74">
        <f t="shared" si="29"/>
        <v>10.700904706184538</v>
      </c>
      <c r="K69" s="74">
        <f t="shared" si="29"/>
        <v>11.936174115057774</v>
      </c>
      <c r="L69" s="74">
        <f t="shared" si="29"/>
        <v>12.062900188323917</v>
      </c>
      <c r="M69" s="74">
        <f t="shared" si="29"/>
        <v>11.116026850105403</v>
      </c>
      <c r="N69" s="74">
        <f t="shared" si="29"/>
        <v>10.914852132949489</v>
      </c>
    </row>
    <row r="70" spans="2:14">
      <c r="B70" s="73" t="s">
        <v>110</v>
      </c>
      <c r="E70" s="69">
        <f>AVERAGE(E65:E69)</f>
        <v>18.598131713577928</v>
      </c>
      <c r="F70" s="69">
        <f t="shared" ref="F70:N70" si="30">AVERAGE(F65:F69)</f>
        <v>20.145364338220226</v>
      </c>
      <c r="G70" s="69">
        <f t="shared" si="30"/>
        <v>12.790045625911336</v>
      </c>
      <c r="H70" s="69">
        <f t="shared" si="30"/>
        <v>12.073112577440485</v>
      </c>
      <c r="I70" s="69">
        <f t="shared" si="30"/>
        <v>11.500738085148374</v>
      </c>
      <c r="J70" s="69">
        <f t="shared" si="30"/>
        <v>11.119872893352497</v>
      </c>
      <c r="K70" s="69">
        <f t="shared" si="30"/>
        <v>10.982868611519926</v>
      </c>
      <c r="L70" s="69">
        <f t="shared" si="30"/>
        <v>10.648221615955105</v>
      </c>
      <c r="M70" s="69">
        <f t="shared" si="30"/>
        <v>9.9701920286010139</v>
      </c>
      <c r="N70" s="69">
        <f t="shared" si="30"/>
        <v>9.45961233466954</v>
      </c>
    </row>
    <row r="73" spans="2:14">
      <c r="B73" s="68" t="e">
        <f ca="1">[6]!SNLTable(1,$C$78:$C$82,$D$75:$N$75,,,"Options:Curr=,Mag=,ConvMethod=")</f>
        <v>#NAME?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2:14">
      <c r="B74" s="68" t="e">
        <f ca="1">[6]!SNLLabel(1,130509,"Options:Curr=,Mag=,ConvMethod=")</f>
        <v>#NAME?</v>
      </c>
      <c r="C74" s="68" t="e">
        <f ca="1">[6]!SNLLabel(1,130992,"Options:Curr=,Mag=,ConvMethod=")</f>
        <v>#NAME?</v>
      </c>
      <c r="D74" s="68" t="e">
        <f ca="1">[6]!SNLLabel(1,$D$75,$D$76,$D$77,"Options:Curr=,Mag=,ConvMethod=")</f>
        <v>#NAME?</v>
      </c>
      <c r="E74" s="68" t="e">
        <f ca="1">[6]!SNLLabel(1,$E$75,$E$76,$E$77,"Options:Curr=,Mag=,ConvMethod=")</f>
        <v>#NAME?</v>
      </c>
      <c r="F74" s="68" t="e">
        <f ca="1">[6]!SNLLabel(1,$F$75,$F$76,$F$77,"Options:Curr=,Mag=,ConvMethod=")</f>
        <v>#NAME?</v>
      </c>
      <c r="G74" s="68" t="e">
        <f ca="1">[6]!SNLLabel(1,$G$75,$G$76,$G$77,"Options:Curr=,Mag=,ConvMethod=")</f>
        <v>#NAME?</v>
      </c>
      <c r="H74" s="68" t="e">
        <f ca="1">[6]!SNLLabel(1,$H$75,$H$76,$H$77,"Options:Curr=,Mag=,ConvMethod=")</f>
        <v>#NAME?</v>
      </c>
      <c r="I74" s="68" t="e">
        <f ca="1">[6]!SNLLabel(1,$I$75,$I$76,$I$77,"Options:Curr=,Mag=,ConvMethod=")</f>
        <v>#NAME?</v>
      </c>
      <c r="J74" s="68" t="e">
        <f ca="1">[6]!SNLLabel(1,$J$75,$J$76,$J$77,"Options:Curr=,Mag=,ConvMethod=")</f>
        <v>#NAME?</v>
      </c>
      <c r="K74" s="68" t="e">
        <f ca="1">[6]!SNLLabel(1,$K$75,$K$76,$K$77,"Options:Curr=,Mag=,ConvMethod=")</f>
        <v>#NAME?</v>
      </c>
      <c r="L74" s="68" t="e">
        <f ca="1">[6]!SNLLabel(1,$L$75,$L$76,$L$77,"Options:Curr=,Mag=,ConvMethod=")</f>
        <v>#NAME?</v>
      </c>
      <c r="M74" s="68" t="e">
        <f ca="1">[6]!SNLLabel(1,$M$75,$M$76,$M$77,"Options:Curr=,Mag=,ConvMethod=")</f>
        <v>#NAME?</v>
      </c>
      <c r="N74" s="68" t="e">
        <f ca="1">[6]!SNLLabel(1,$N$75,$N$76,$N$77,"Options:Curr=,Mag=,ConvMethod=")</f>
        <v>#NAME?</v>
      </c>
    </row>
    <row r="75" spans="2:14">
      <c r="B75" s="68"/>
      <c r="C75" s="68"/>
      <c r="D75" s="68">
        <v>131166</v>
      </c>
      <c r="E75" s="68">
        <v>245633</v>
      </c>
      <c r="F75" s="68">
        <v>245633</v>
      </c>
      <c r="G75" s="68">
        <v>245633</v>
      </c>
      <c r="H75" s="68">
        <v>245633</v>
      </c>
      <c r="I75" s="68">
        <v>245633</v>
      </c>
      <c r="J75" s="68">
        <v>245633</v>
      </c>
      <c r="K75" s="68">
        <v>245633</v>
      </c>
      <c r="L75" s="68">
        <v>245633</v>
      </c>
      <c r="M75" s="68">
        <v>245633</v>
      </c>
      <c r="N75" s="68">
        <v>245633</v>
      </c>
    </row>
    <row r="76" spans="2:14">
      <c r="B76" s="55"/>
      <c r="C76" s="55"/>
      <c r="D76" s="55"/>
      <c r="E76" s="55" t="s">
        <v>95</v>
      </c>
      <c r="F76" s="55" t="s">
        <v>96</v>
      </c>
      <c r="G76" s="55" t="s">
        <v>97</v>
      </c>
      <c r="H76" s="55" t="s">
        <v>98</v>
      </c>
      <c r="I76" s="55" t="s">
        <v>99</v>
      </c>
      <c r="J76" s="55" t="s">
        <v>100</v>
      </c>
      <c r="K76" s="55" t="s">
        <v>101</v>
      </c>
      <c r="L76" s="55" t="s">
        <v>102</v>
      </c>
      <c r="M76" s="55" t="s">
        <v>103</v>
      </c>
      <c r="N76" s="55" t="s">
        <v>104</v>
      </c>
    </row>
    <row r="77" spans="2:14">
      <c r="B77" s="55"/>
      <c r="C77" s="55"/>
      <c r="D77" s="55"/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1</v>
      </c>
      <c r="M77" s="55">
        <v>1</v>
      </c>
      <c r="N77" s="55">
        <v>1</v>
      </c>
    </row>
    <row r="78" spans="2:14">
      <c r="B78" s="66" t="s">
        <v>86</v>
      </c>
      <c r="C78" s="66">
        <v>100369</v>
      </c>
      <c r="D78" s="66" t="s">
        <v>87</v>
      </c>
      <c r="E78" s="70">
        <v>16.198462399301</v>
      </c>
      <c r="F78" s="70">
        <v>10.9628133643588</v>
      </c>
      <c r="G78" s="70">
        <v>2.4315814379576701</v>
      </c>
      <c r="H78" s="70">
        <v>2.5653497925565598</v>
      </c>
      <c r="I78" s="70">
        <v>-0.95954723776448603</v>
      </c>
      <c r="J78" s="70">
        <v>0.63117920513324199</v>
      </c>
      <c r="K78" s="70">
        <v>1.77700836314108</v>
      </c>
      <c r="L78" s="70">
        <v>4.8861494270069699</v>
      </c>
      <c r="M78" s="70">
        <v>2.02661903084587</v>
      </c>
      <c r="N78" s="70">
        <v>7.0245187005514298</v>
      </c>
    </row>
    <row r="79" spans="2:14">
      <c r="B79" s="66" t="s">
        <v>88</v>
      </c>
      <c r="C79" s="66">
        <v>4041896</v>
      </c>
      <c r="D79" s="66" t="s">
        <v>89</v>
      </c>
      <c r="E79" s="70">
        <v>18.911753238313899</v>
      </c>
      <c r="F79" s="70">
        <v>3.0941821441888901</v>
      </c>
      <c r="G79" s="70">
        <v>-20.263020908643998</v>
      </c>
      <c r="H79" s="70">
        <v>-1.0322166356978899</v>
      </c>
      <c r="I79" s="70">
        <v>6.8239101004875797</v>
      </c>
      <c r="J79" s="70">
        <v>6.3401170708533998</v>
      </c>
      <c r="K79" s="70">
        <v>4.1545844910330896</v>
      </c>
      <c r="L79" s="70">
        <v>7.0038061696894696</v>
      </c>
      <c r="M79" s="70">
        <v>3.5515073904918402</v>
      </c>
      <c r="N79" s="70">
        <v>8.5484303292699408</v>
      </c>
    </row>
    <row r="80" spans="2:14">
      <c r="B80" s="66" t="s">
        <v>90</v>
      </c>
      <c r="C80" s="66">
        <v>4039450</v>
      </c>
      <c r="D80" s="66" t="s">
        <v>91</v>
      </c>
      <c r="E80" s="70">
        <v>30.7169543931976</v>
      </c>
      <c r="F80" s="70">
        <v>30.556653231117799</v>
      </c>
      <c r="G80" s="70">
        <v>4.97329424521104</v>
      </c>
      <c r="H80" s="70">
        <v>20.336227656357998</v>
      </c>
      <c r="I80" s="70">
        <v>11.1323583302795</v>
      </c>
      <c r="J80" s="70">
        <v>6.0540290060495998</v>
      </c>
      <c r="K80" s="70">
        <v>10.095774800068201</v>
      </c>
      <c r="L80" s="70">
        <v>10.3217026958066</v>
      </c>
      <c r="M80" s="70">
        <v>10.4370844619552</v>
      </c>
      <c r="N80" s="70">
        <v>8.1966869482453699</v>
      </c>
    </row>
    <row r="81" spans="2:14">
      <c r="B81" s="66" t="s">
        <v>92</v>
      </c>
      <c r="C81" s="66">
        <v>100201</v>
      </c>
      <c r="D81" s="66" t="s">
        <v>93</v>
      </c>
      <c r="E81" s="70">
        <v>13.0442242913005</v>
      </c>
      <c r="F81" s="70">
        <v>12.9418899455034</v>
      </c>
      <c r="G81" s="70">
        <v>4.0541322493381804</v>
      </c>
      <c r="H81" s="70">
        <v>7.1097316270300803</v>
      </c>
      <c r="I81" s="70">
        <v>10.2451885362415</v>
      </c>
      <c r="J81" s="70">
        <v>10.480156407056</v>
      </c>
      <c r="K81" s="70">
        <v>11.051571229775501</v>
      </c>
      <c r="L81" s="70">
        <v>8.6430469356557609</v>
      </c>
      <c r="M81" s="70">
        <v>9.6895079717313202</v>
      </c>
      <c r="N81" s="70">
        <v>10.659849755621501</v>
      </c>
    </row>
    <row r="82" spans="2:14">
      <c r="B82" s="66" t="s">
        <v>67</v>
      </c>
      <c r="C82" s="66">
        <v>103042</v>
      </c>
      <c r="D82" s="66" t="s">
        <v>94</v>
      </c>
      <c r="E82" s="70">
        <v>23.231663712962099</v>
      </c>
      <c r="F82" s="70">
        <v>8.8982920291269103</v>
      </c>
      <c r="G82" s="70">
        <v>3.5210709759188799</v>
      </c>
      <c r="H82" s="70">
        <v>2.75670058624002</v>
      </c>
      <c r="I82" s="70">
        <v>9.5425572195712807</v>
      </c>
      <c r="J82" s="70">
        <v>6.8187961584017103</v>
      </c>
      <c r="K82" s="70">
        <v>1.0408792231203099</v>
      </c>
      <c r="L82" s="70">
        <v>5.3994679738171403</v>
      </c>
      <c r="M82" s="70">
        <v>5.1099645702620098</v>
      </c>
      <c r="N82" s="70">
        <v>9.4649862485883194</v>
      </c>
    </row>
    <row r="83" spans="2:14">
      <c r="B83" s="73" t="s">
        <v>110</v>
      </c>
      <c r="E83" s="69">
        <f>AVERAGE(E78:E82)</f>
        <v>20.420611607015019</v>
      </c>
      <c r="F83" s="69">
        <f t="shared" ref="F83:N83" si="31">AVERAGE(F78:F82)</f>
        <v>13.290766142859161</v>
      </c>
      <c r="G83" s="69">
        <f t="shared" si="31"/>
        <v>-1.0565884000436452</v>
      </c>
      <c r="H83" s="69">
        <f t="shared" si="31"/>
        <v>6.3471586052973539</v>
      </c>
      <c r="I83" s="69">
        <f t="shared" si="31"/>
        <v>7.3568933897630746</v>
      </c>
      <c r="J83" s="69">
        <f t="shared" si="31"/>
        <v>6.0648555694987909</v>
      </c>
      <c r="K83" s="69">
        <f t="shared" si="31"/>
        <v>5.6239636214276363</v>
      </c>
      <c r="L83" s="69">
        <f t="shared" si="31"/>
        <v>7.2508346403951878</v>
      </c>
      <c r="M83" s="69">
        <f t="shared" si="31"/>
        <v>6.1629366850572485</v>
      </c>
      <c r="N83" s="69">
        <f t="shared" si="31"/>
        <v>8.7788943964553106</v>
      </c>
    </row>
    <row r="86" spans="2:14">
      <c r="B86" s="68" t="e">
        <f ca="1">[6]!SNLTable(1,$C$91:$C$95,$D$88:$N$88,,,"Options:Curr=,Mag=,ConvMethod=")</f>
        <v>#NAME?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2:14">
      <c r="B87" s="68" t="e">
        <f ca="1">[6]!SNLLabel(1,130509,"Options:Curr=,Mag=,ConvMethod=")</f>
        <v>#NAME?</v>
      </c>
      <c r="C87" s="68" t="e">
        <f ca="1">[6]!SNLLabel(1,130992,"Options:Curr=,Mag=,ConvMethod=")</f>
        <v>#NAME?</v>
      </c>
      <c r="D87" s="68" t="e">
        <f ca="1">[6]!SNLLabel(1,$D$88,$D$89,$D$90,"Options:Curr=,Mag=,ConvMethod=")</f>
        <v>#NAME?</v>
      </c>
      <c r="E87" s="68" t="e">
        <f ca="1">[6]!SNLLabel(1,$E$88,$E$89,$E$90,"Options:Curr=,Mag=,ConvMethod=")</f>
        <v>#NAME?</v>
      </c>
      <c r="F87" s="68" t="e">
        <f ca="1">[6]!SNLLabel(1,$F$88,$F$89,$F$90,"Options:Curr=,Mag=,ConvMethod=")</f>
        <v>#NAME?</v>
      </c>
      <c r="G87" s="68" t="e">
        <f ca="1">[6]!SNLLabel(1,$G$88,$G$89,$G$90,"Options:Curr=,Mag=,ConvMethod=")</f>
        <v>#NAME?</v>
      </c>
      <c r="H87" s="68" t="e">
        <f ca="1">[6]!SNLLabel(1,$H$88,$H$89,$H$90,"Options:Curr=,Mag=,ConvMethod=")</f>
        <v>#NAME?</v>
      </c>
      <c r="I87" s="68" t="e">
        <f ca="1">[6]!SNLLabel(1,$I$88,$I$89,$I$90,"Options:Curr=,Mag=,ConvMethod=")</f>
        <v>#NAME?</v>
      </c>
      <c r="J87" s="68" t="e">
        <f ca="1">[6]!SNLLabel(1,$J$88,$J$89,$J$90,"Options:Curr=,Mag=,ConvMethod=")</f>
        <v>#NAME?</v>
      </c>
      <c r="K87" s="68" t="e">
        <f ca="1">[6]!SNLLabel(1,$K$88,$K$89,$K$90,"Options:Curr=,Mag=,ConvMethod=")</f>
        <v>#NAME?</v>
      </c>
      <c r="L87" s="68" t="e">
        <f ca="1">[6]!SNLLabel(1,$L$88,$L$89,$L$90,"Options:Curr=,Mag=,ConvMethod=")</f>
        <v>#NAME?</v>
      </c>
      <c r="M87" s="68" t="e">
        <f ca="1">[6]!SNLLabel(1,$M$88,$M$89,$M$90,"Options:Curr=,Mag=,ConvMethod=")</f>
        <v>#NAME?</v>
      </c>
      <c r="N87" s="68" t="e">
        <f ca="1">[6]!SNLLabel(1,$N$88,$N$89,$N$90,"Options:Curr=,Mag=,ConvMethod=")</f>
        <v>#NAME?</v>
      </c>
    </row>
    <row r="88" spans="2:14">
      <c r="B88" s="68"/>
      <c r="C88" s="68"/>
      <c r="D88" s="68">
        <v>131166</v>
      </c>
      <c r="E88" s="68">
        <v>245636</v>
      </c>
      <c r="F88" s="68">
        <v>245636</v>
      </c>
      <c r="G88" s="68">
        <v>245636</v>
      </c>
      <c r="H88" s="68">
        <v>245636</v>
      </c>
      <c r="I88" s="68">
        <v>245636</v>
      </c>
      <c r="J88" s="68">
        <v>245636</v>
      </c>
      <c r="K88" s="68">
        <v>245636</v>
      </c>
      <c r="L88" s="68">
        <v>245636</v>
      </c>
      <c r="M88" s="68">
        <v>245636</v>
      </c>
      <c r="N88" s="68">
        <v>245636</v>
      </c>
    </row>
    <row r="89" spans="2:14">
      <c r="B89" s="55"/>
      <c r="C89" s="55"/>
      <c r="D89" s="55"/>
      <c r="E89" s="55" t="s">
        <v>95</v>
      </c>
      <c r="F89" s="55" t="s">
        <v>96</v>
      </c>
      <c r="G89" s="55" t="s">
        <v>97</v>
      </c>
      <c r="H89" s="55" t="s">
        <v>98</v>
      </c>
      <c r="I89" s="55" t="s">
        <v>99</v>
      </c>
      <c r="J89" s="55" t="s">
        <v>100</v>
      </c>
      <c r="K89" s="55" t="s">
        <v>101</v>
      </c>
      <c r="L89" s="55" t="s">
        <v>102</v>
      </c>
      <c r="M89" s="55" t="s">
        <v>103</v>
      </c>
      <c r="N89" s="55" t="s">
        <v>104</v>
      </c>
    </row>
    <row r="90" spans="2:14">
      <c r="B90" s="55"/>
      <c r="C90" s="55"/>
      <c r="D90" s="55"/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</row>
    <row r="91" spans="2:14">
      <c r="B91" s="66" t="s">
        <v>86</v>
      </c>
      <c r="C91" s="66">
        <v>100369</v>
      </c>
      <c r="D91" s="66" t="s">
        <v>87</v>
      </c>
      <c r="E91" s="70">
        <v>16.267636565387299</v>
      </c>
      <c r="F91" s="70">
        <v>11.000711317434799</v>
      </c>
      <c r="G91" s="70">
        <v>1.7558847202022101</v>
      </c>
      <c r="H91" s="70">
        <v>-1.21236724304397</v>
      </c>
      <c r="I91" s="70">
        <v>-1.6921659159512099</v>
      </c>
      <c r="J91" s="70">
        <v>3.9677103949288903E-2</v>
      </c>
      <c r="K91" s="70">
        <v>1.2709911703441501</v>
      </c>
      <c r="L91" s="70">
        <v>4.6139480381566198</v>
      </c>
      <c r="M91" s="70">
        <v>1.69860041422718</v>
      </c>
      <c r="N91" s="70">
        <v>7.0173377251114397</v>
      </c>
    </row>
    <row r="92" spans="2:14">
      <c r="B92" s="66" t="s">
        <v>88</v>
      </c>
      <c r="C92" s="66">
        <v>4041896</v>
      </c>
      <c r="D92" s="66" t="s">
        <v>89</v>
      </c>
      <c r="E92" s="70">
        <v>18.295020515567501</v>
      </c>
      <c r="F92" s="70">
        <v>2.70613659265207</v>
      </c>
      <c r="G92" s="70">
        <v>-28.8239484734356</v>
      </c>
      <c r="H92" s="70">
        <v>-9.2484045851921497</v>
      </c>
      <c r="I92" s="70">
        <v>6.6975637372021799</v>
      </c>
      <c r="J92" s="70">
        <v>6.22407327394997</v>
      </c>
      <c r="K92" s="70">
        <v>3.9880375261166998</v>
      </c>
      <c r="L92" s="70">
        <v>6.8752583527267399</v>
      </c>
      <c r="M92" s="70">
        <v>3.3257437454274399</v>
      </c>
      <c r="N92" s="70">
        <v>8.6579722248371809</v>
      </c>
    </row>
    <row r="93" spans="2:14">
      <c r="B93" s="66" t="s">
        <v>90</v>
      </c>
      <c r="C93" s="66">
        <v>4039450</v>
      </c>
      <c r="D93" s="66" t="s">
        <v>91</v>
      </c>
      <c r="E93" s="70">
        <v>32.805082379223698</v>
      </c>
      <c r="F93" s="70">
        <v>32.723256547806898</v>
      </c>
      <c r="G93" s="70">
        <v>4.8583670554629803</v>
      </c>
      <c r="H93" s="70">
        <v>22.509415848164799</v>
      </c>
      <c r="I93" s="70">
        <v>11.4606240713224</v>
      </c>
      <c r="J93" s="70">
        <v>3.6526092144707398</v>
      </c>
      <c r="K93" s="70">
        <v>10.7018110305556</v>
      </c>
      <c r="L93" s="70">
        <v>10.9649309547125</v>
      </c>
      <c r="M93" s="70">
        <v>11.178619868796201</v>
      </c>
      <c r="N93" s="70">
        <v>8.7953242190079894</v>
      </c>
    </row>
    <row r="94" spans="2:14">
      <c r="B94" s="66" t="s">
        <v>92</v>
      </c>
      <c r="C94" s="66">
        <v>100201</v>
      </c>
      <c r="D94" s="66" t="s">
        <v>93</v>
      </c>
      <c r="E94" s="70">
        <v>13.044617288634701</v>
      </c>
      <c r="F94" s="70">
        <v>12.570437067796499</v>
      </c>
      <c r="G94" s="70">
        <v>3.6726664394807802</v>
      </c>
      <c r="H94" s="70">
        <v>6.0135843676963496</v>
      </c>
      <c r="I94" s="70">
        <v>9.7597820703318501</v>
      </c>
      <c r="J94" s="70">
        <v>10.139323352533101</v>
      </c>
      <c r="K94" s="70">
        <v>10.782090782850201</v>
      </c>
      <c r="L94" s="70">
        <v>8.4481872011975003</v>
      </c>
      <c r="M94" s="70">
        <v>9.6798457087753107</v>
      </c>
      <c r="N94" s="70">
        <v>10.882127068086501</v>
      </c>
    </row>
    <row r="95" spans="2:14">
      <c r="B95" s="66" t="s">
        <v>67</v>
      </c>
      <c r="C95" s="66">
        <v>103042</v>
      </c>
      <c r="D95" s="66" t="s">
        <v>94</v>
      </c>
      <c r="E95" s="70">
        <v>23.481411468179001</v>
      </c>
      <c r="F95" s="70">
        <v>8.4461472967220104</v>
      </c>
      <c r="G95" s="70">
        <v>4.8856209150326801</v>
      </c>
      <c r="H95" s="70">
        <v>-2.6623224139955401</v>
      </c>
      <c r="I95" s="70">
        <v>8.4766150145050592</v>
      </c>
      <c r="J95" s="70">
        <v>3.8008900003677701</v>
      </c>
      <c r="K95" s="70">
        <v>-4.93193923850858E-2</v>
      </c>
      <c r="L95" s="70">
        <v>4.2895225785604696</v>
      </c>
      <c r="M95" s="70">
        <v>4.8281355309110996</v>
      </c>
      <c r="N95" s="70">
        <v>9.82744990483042</v>
      </c>
    </row>
    <row r="96" spans="2:14">
      <c r="B96" s="73" t="s">
        <v>110</v>
      </c>
      <c r="E96" s="69">
        <f>AVERAGE(E91:E95)</f>
        <v>20.778753643398439</v>
      </c>
      <c r="F96" s="69">
        <f t="shared" ref="F96" si="32">AVERAGE(F91:F95)</f>
        <v>13.489337764482457</v>
      </c>
      <c r="G96" s="69">
        <f t="shared" ref="G96" si="33">AVERAGE(G91:G95)</f>
        <v>-2.7302818686513892</v>
      </c>
      <c r="H96" s="69">
        <f t="shared" ref="H96" si="34">AVERAGE(H91:H95)</f>
        <v>3.0799811947258982</v>
      </c>
      <c r="I96" s="69">
        <f t="shared" ref="I96" si="35">AVERAGE(I91:I95)</f>
        <v>6.9404837954820549</v>
      </c>
      <c r="J96" s="69">
        <f t="shared" ref="J96" si="36">AVERAGE(J91:J95)</f>
        <v>4.7713145890541728</v>
      </c>
      <c r="K96" s="69">
        <f t="shared" ref="K96" si="37">AVERAGE(K91:K95)</f>
        <v>5.3387222234963128</v>
      </c>
      <c r="L96" s="69">
        <f t="shared" ref="L96" si="38">AVERAGE(L91:L95)</f>
        <v>7.0383694250707665</v>
      </c>
      <c r="M96" s="69">
        <f t="shared" ref="M96" si="39">AVERAGE(M91:M95)</f>
        <v>6.1421890536274457</v>
      </c>
      <c r="N96" s="69">
        <f t="shared" ref="N96" si="40">AVERAGE(N91:N95)</f>
        <v>9.0360422283747059</v>
      </c>
    </row>
    <row r="99" spans="2:14">
      <c r="B99" s="68" t="e">
        <f ca="1">[6]!SNLTable(1,$C$104:$C$108,$D$101:$N$101,,,"Options:Curr=,Mag=,ConvMethod=")</f>
        <v>#NAME?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</row>
    <row r="100" spans="2:14">
      <c r="B100" s="68" t="e">
        <f ca="1">[6]!SNLLabel(1,130509,"Options:Curr=,Mag=,ConvMethod=")</f>
        <v>#NAME?</v>
      </c>
      <c r="C100" s="68" t="e">
        <f ca="1">[6]!SNLLabel(1,130992,"Options:Curr=,Mag=,ConvMethod=")</f>
        <v>#NAME?</v>
      </c>
      <c r="D100" s="68" t="e">
        <f ca="1">[6]!SNLLabel(1,$D$101,$D$102,$D$103,"Options:Curr=,Mag=,ConvMethod=")</f>
        <v>#NAME?</v>
      </c>
      <c r="E100" s="68" t="e">
        <f ca="1">[6]!SNLLabel(1,$E$101,$E$102,$E$103,"Options:Curr=,Mag=,ConvMethod=")</f>
        <v>#NAME?</v>
      </c>
      <c r="F100" s="68" t="e">
        <f ca="1">[6]!SNLLabel(1,$F$101,$F$102,$F$103,"Options:Curr=,Mag=,ConvMethod=")</f>
        <v>#NAME?</v>
      </c>
      <c r="G100" s="68" t="e">
        <f ca="1">[6]!SNLLabel(1,$G$101,$G$102,$G$103,"Options:Curr=,Mag=,ConvMethod=")</f>
        <v>#NAME?</v>
      </c>
      <c r="H100" s="68" t="e">
        <f ca="1">[6]!SNLLabel(1,$H$101,$H$102,$H$103,"Options:Curr=,Mag=,ConvMethod=")</f>
        <v>#NAME?</v>
      </c>
      <c r="I100" s="68" t="e">
        <f ca="1">[6]!SNLLabel(1,$I$101,$I$102,$I$103,"Options:Curr=,Mag=,ConvMethod=")</f>
        <v>#NAME?</v>
      </c>
      <c r="J100" s="68" t="e">
        <f ca="1">[6]!SNLLabel(1,$J$101,$J$102,$J$103,"Options:Curr=,Mag=,ConvMethod=")</f>
        <v>#NAME?</v>
      </c>
      <c r="K100" s="68" t="e">
        <f ca="1">[6]!SNLLabel(1,$K$101,$K$102,$K$103,"Options:Curr=,Mag=,ConvMethod=")</f>
        <v>#NAME?</v>
      </c>
      <c r="L100" s="68" t="e">
        <f ca="1">[6]!SNLLabel(1,$L$101,$L$102,$L$103,"Options:Curr=,Mag=,ConvMethod=")</f>
        <v>#NAME?</v>
      </c>
      <c r="M100" s="68" t="e">
        <f ca="1">[6]!SNLLabel(1,$M$101,$M$102,$M$103,"Options:Curr=,Mag=,ConvMethod=")</f>
        <v>#NAME?</v>
      </c>
      <c r="N100" s="68" t="e">
        <f ca="1">[6]!SNLLabel(1,$N$101,$N$102,$N$103,"Options:Curr=,Mag=,ConvMethod=")</f>
        <v>#NAME?</v>
      </c>
    </row>
    <row r="101" spans="2:14">
      <c r="B101" s="68"/>
      <c r="C101" s="68"/>
      <c r="D101" s="68">
        <v>131166</v>
      </c>
      <c r="E101" s="68">
        <v>245640</v>
      </c>
      <c r="F101" s="68">
        <v>245640</v>
      </c>
      <c r="G101" s="68">
        <v>245640</v>
      </c>
      <c r="H101" s="68">
        <v>245640</v>
      </c>
      <c r="I101" s="68">
        <v>245640</v>
      </c>
      <c r="J101" s="68">
        <v>245640</v>
      </c>
      <c r="K101" s="68">
        <v>245640</v>
      </c>
      <c r="L101" s="68">
        <v>245640</v>
      </c>
      <c r="M101" s="68">
        <v>245640</v>
      </c>
      <c r="N101" s="68">
        <v>245640</v>
      </c>
    </row>
    <row r="102" spans="2:14">
      <c r="B102" s="55"/>
      <c r="C102" s="55"/>
      <c r="D102" s="55"/>
      <c r="E102" s="55" t="s">
        <v>95</v>
      </c>
      <c r="F102" s="55" t="s">
        <v>96</v>
      </c>
      <c r="G102" s="55" t="s">
        <v>97</v>
      </c>
      <c r="H102" s="55" t="s">
        <v>98</v>
      </c>
      <c r="I102" s="55" t="s">
        <v>99</v>
      </c>
      <c r="J102" s="55" t="s">
        <v>100</v>
      </c>
      <c r="K102" s="55" t="s">
        <v>101</v>
      </c>
      <c r="L102" s="55" t="s">
        <v>102</v>
      </c>
      <c r="M102" s="55" t="s">
        <v>103</v>
      </c>
      <c r="N102" s="55" t="s">
        <v>104</v>
      </c>
    </row>
    <row r="103" spans="2:14">
      <c r="B103" s="55"/>
      <c r="C103" s="55"/>
      <c r="D103" s="55"/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</row>
    <row r="104" spans="2:14">
      <c r="B104" s="66" t="s">
        <v>86</v>
      </c>
      <c r="C104" s="66">
        <v>100369</v>
      </c>
      <c r="D104" s="66" t="s">
        <v>87</v>
      </c>
      <c r="E104" s="70">
        <v>34.825771514426002</v>
      </c>
      <c r="F104" s="70">
        <v>24.639577213829401</v>
      </c>
      <c r="G104" s="70">
        <v>5.5135927424425697</v>
      </c>
      <c r="H104" s="70">
        <v>-1.5759992728429599</v>
      </c>
      <c r="I104" s="70">
        <v>4.20044807376983</v>
      </c>
      <c r="J104" s="70" t="s">
        <v>72</v>
      </c>
      <c r="K104" s="70" t="s">
        <v>72</v>
      </c>
      <c r="L104" s="70" t="s">
        <v>72</v>
      </c>
      <c r="M104" s="70" t="s">
        <v>72</v>
      </c>
      <c r="N104" s="70" t="s">
        <v>72</v>
      </c>
    </row>
    <row r="105" spans="2:14">
      <c r="B105" s="66" t="s">
        <v>88</v>
      </c>
      <c r="C105" s="66">
        <v>4041896</v>
      </c>
      <c r="D105" s="66" t="s">
        <v>89</v>
      </c>
      <c r="E105" s="70" t="s">
        <v>72</v>
      </c>
      <c r="F105" s="70">
        <v>4.7488608052461103</v>
      </c>
      <c r="G105" s="70">
        <v>-44.112398634588999</v>
      </c>
      <c r="H105" s="70">
        <v>-13.3010548028691</v>
      </c>
      <c r="I105" s="70">
        <v>8.5800234213922</v>
      </c>
      <c r="J105" s="70">
        <v>7.7695406633432098</v>
      </c>
      <c r="K105" s="70">
        <v>4.9543848435387901</v>
      </c>
      <c r="L105" s="70">
        <v>8.2529795973335105</v>
      </c>
      <c r="M105" s="70">
        <v>4.02743403363226</v>
      </c>
      <c r="N105" s="70">
        <v>10.069692234275299</v>
      </c>
    </row>
    <row r="106" spans="2:14">
      <c r="B106" s="66" t="s">
        <v>90</v>
      </c>
      <c r="C106" s="66">
        <v>4039450</v>
      </c>
      <c r="D106" s="66" t="s">
        <v>91</v>
      </c>
      <c r="E106" s="70">
        <v>41.4008586680307</v>
      </c>
      <c r="F106" s="70">
        <v>39.270514130064697</v>
      </c>
      <c r="G106" s="70">
        <v>5.9692976497758501</v>
      </c>
      <c r="H106" s="70">
        <v>24.9294850603942</v>
      </c>
      <c r="I106" s="70">
        <v>12.7564612810475</v>
      </c>
      <c r="J106" s="70">
        <v>4.3596470119490496</v>
      </c>
      <c r="K106" s="70">
        <v>11.961186692011401</v>
      </c>
      <c r="L106" s="70">
        <v>11.9318408252885</v>
      </c>
      <c r="M106" s="70">
        <v>12.111773093545899</v>
      </c>
      <c r="N106" s="70">
        <v>9.4270216683209096</v>
      </c>
    </row>
    <row r="107" spans="2:14">
      <c r="B107" s="66" t="s">
        <v>92</v>
      </c>
      <c r="C107" s="66">
        <v>100201</v>
      </c>
      <c r="D107" s="66" t="s">
        <v>93</v>
      </c>
      <c r="E107" s="70">
        <v>23.8409912235416</v>
      </c>
      <c r="F107" s="70">
        <v>22.140051825694201</v>
      </c>
      <c r="G107" s="70">
        <v>6.5068872348379099</v>
      </c>
      <c r="H107" s="70">
        <v>9.7702496199642805</v>
      </c>
      <c r="I107" s="70">
        <v>14.693061105599</v>
      </c>
      <c r="J107" s="70">
        <v>14.7232479522186</v>
      </c>
      <c r="K107" s="70">
        <v>15.1659058136147</v>
      </c>
      <c r="L107" s="70">
        <v>11.5153246429878</v>
      </c>
      <c r="M107" s="70">
        <v>12.9295156100874</v>
      </c>
      <c r="N107" s="70" t="s">
        <v>72</v>
      </c>
    </row>
    <row r="108" spans="2:14">
      <c r="B108" s="66" t="s">
        <v>67</v>
      </c>
      <c r="C108" s="66">
        <v>103042</v>
      </c>
      <c r="D108" s="66" t="s">
        <v>94</v>
      </c>
      <c r="E108" s="70">
        <v>25.973160477436299</v>
      </c>
      <c r="F108" s="70">
        <v>9.6468748504045099</v>
      </c>
      <c r="G108" s="70">
        <v>7.0963389731621902</v>
      </c>
      <c r="H108" s="70">
        <v>-2.9772154922707901</v>
      </c>
      <c r="I108" s="70">
        <v>12.504269802485901</v>
      </c>
      <c r="J108" s="70">
        <v>5.3063370769730396</v>
      </c>
      <c r="K108" s="70">
        <v>0.38082705267775302</v>
      </c>
      <c r="L108" s="70">
        <v>5.7052357717286704</v>
      </c>
      <c r="M108" s="70">
        <v>6.0235626724770501</v>
      </c>
      <c r="N108" s="70">
        <v>11.8431637218193</v>
      </c>
    </row>
    <row r="109" spans="2:14">
      <c r="B109" s="73" t="s">
        <v>110</v>
      </c>
      <c r="E109" s="69">
        <f>AVERAGE(E104:E108)</f>
        <v>31.510195470858648</v>
      </c>
      <c r="F109" s="69">
        <f t="shared" ref="F109" si="41">AVERAGE(F104:F108)</f>
        <v>20.089175765047784</v>
      </c>
      <c r="G109" s="69">
        <f t="shared" ref="G109" si="42">AVERAGE(G104:G108)</f>
        <v>-3.8052564068740948</v>
      </c>
      <c r="H109" s="69">
        <f t="shared" ref="H109" si="43">AVERAGE(H104:H108)</f>
        <v>3.3690930224751261</v>
      </c>
      <c r="I109" s="69">
        <f t="shared" ref="I109" si="44">AVERAGE(I104:I108)</f>
        <v>10.546852736858884</v>
      </c>
      <c r="J109" s="69">
        <f t="shared" ref="J109" si="45">AVERAGE(J104:J108)</f>
        <v>8.0396931761209736</v>
      </c>
      <c r="K109" s="69">
        <f t="shared" ref="K109" si="46">AVERAGE(K104:K108)</f>
        <v>8.115576100460661</v>
      </c>
      <c r="L109" s="69">
        <f t="shared" ref="L109" si="47">AVERAGE(L104:L108)</f>
        <v>9.351345209334621</v>
      </c>
      <c r="M109" s="69">
        <f t="shared" ref="M109" si="48">AVERAGE(M104:M108)</f>
        <v>8.7730713524356521</v>
      </c>
      <c r="N109" s="69">
        <f t="shared" ref="N109" si="49">AVERAGE(N104:N108)</f>
        <v>10.44662587480517</v>
      </c>
    </row>
  </sheetData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IB Revenue Comparisons Sheet</vt:lpstr>
      <vt:lpstr>Financial Data</vt:lpstr>
      <vt:lpstr>'IB Revenue Comparisons Sheet'!Print_Titles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Kaimon Chung</dc:creator>
  <cp:lastModifiedBy>Erin Kilroy</cp:lastModifiedBy>
  <cp:lastPrinted>2015-12-16T17:23:20Z</cp:lastPrinted>
  <dcterms:created xsi:type="dcterms:W3CDTF">2015-11-09T22:14:31Z</dcterms:created>
  <dcterms:modified xsi:type="dcterms:W3CDTF">2015-12-17T21:00:36Z</dcterms:modified>
</cp:coreProperties>
</file>